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5480" windowHeight="8505" activeTab="5"/>
  </bookViews>
  <sheets>
    <sheet name="107" sheetId="43" r:id="rId1"/>
    <sheet name="B108" sheetId="30" r:id="rId2"/>
    <sheet name="109" sheetId="14" r:id="rId3"/>
    <sheet name="110" sheetId="15" r:id="rId4"/>
    <sheet name="111" sheetId="34" r:id="rId5"/>
    <sheet name="112" sheetId="18" r:id="rId6"/>
  </sheets>
  <externalReferences>
    <externalReference r:id="rId7"/>
  </externalReferences>
  <definedNames>
    <definedName name="_xlnm.Print_Titles" localSheetId="4">'111'!$7:$9</definedName>
  </definedNames>
  <calcPr calcId="145621"/>
</workbook>
</file>

<file path=xl/calcChain.xml><?xml version="1.0" encoding="utf-8"?>
<calcChain xmlns="http://schemas.openxmlformats.org/spreadsheetml/2006/main">
  <c r="I31" i="34" l="1"/>
  <c r="G30" i="34"/>
  <c r="I30" i="34" s="1"/>
  <c r="G29" i="34"/>
  <c r="I29" i="34" s="1"/>
  <c r="F28" i="34"/>
  <c r="G27" i="34"/>
  <c r="I26" i="34"/>
  <c r="G25" i="34"/>
  <c r="I25" i="34" s="1"/>
  <c r="I24" i="34"/>
  <c r="F24" i="34"/>
  <c r="E24" i="34"/>
  <c r="G23" i="34"/>
  <c r="G22" i="34"/>
  <c r="G21" i="34"/>
  <c r="I20" i="34"/>
  <c r="I19" i="34"/>
  <c r="G19" i="34"/>
  <c r="G18" i="34"/>
  <c r="G17" i="34"/>
  <c r="I17" i="34" s="1"/>
  <c r="I16" i="34"/>
  <c r="G16" i="34"/>
  <c r="G15" i="34"/>
  <c r="I15" i="34" s="1"/>
  <c r="I14" i="34"/>
  <c r="G14" i="34" s="1"/>
  <c r="I13" i="34"/>
  <c r="G13" i="34"/>
  <c r="G12" i="34"/>
  <c r="G15" i="18" l="1"/>
  <c r="D15" i="18"/>
  <c r="G14" i="18"/>
  <c r="D14" i="18"/>
  <c r="G13" i="18"/>
  <c r="D13" i="18"/>
  <c r="G12" i="18"/>
  <c r="D12" i="18"/>
  <c r="F11" i="18"/>
  <c r="F10" i="18" s="1"/>
  <c r="C11" i="18"/>
  <c r="C10" i="18" s="1"/>
  <c r="B11" i="18"/>
  <c r="B10" i="18" s="1"/>
  <c r="E10" i="18"/>
  <c r="I35" i="34"/>
  <c r="I33" i="34"/>
  <c r="I32" i="34" s="1"/>
  <c r="H33" i="34"/>
  <c r="H32" i="34" s="1"/>
  <c r="G33" i="34"/>
  <c r="G32" i="34" s="1"/>
  <c r="F33" i="34"/>
  <c r="F32" i="34" s="1"/>
  <c r="E33" i="34"/>
  <c r="E32" i="34" s="1"/>
  <c r="J32" i="34"/>
  <c r="D32" i="34"/>
  <c r="C32" i="34"/>
  <c r="K17" i="34"/>
  <c r="K12" i="34"/>
  <c r="G11" i="34"/>
  <c r="J11" i="34"/>
  <c r="H11" i="34"/>
  <c r="F11" i="34"/>
  <c r="F10" i="34" s="1"/>
  <c r="E11" i="34"/>
  <c r="E10" i="34" s="1"/>
  <c r="D11" i="34"/>
  <c r="D10" i="34" s="1"/>
  <c r="C11" i="34"/>
  <c r="C10" i="34" s="1"/>
  <c r="D23" i="15"/>
  <c r="C23" i="15" s="1"/>
  <c r="C10" i="15"/>
  <c r="C11" i="15"/>
  <c r="C12" i="15"/>
  <c r="C13" i="15"/>
  <c r="C14" i="15"/>
  <c r="C15" i="15"/>
  <c r="C16" i="15"/>
  <c r="C17" i="15"/>
  <c r="C18" i="15"/>
  <c r="C19" i="15"/>
  <c r="C20" i="15"/>
  <c r="C21" i="15"/>
  <c r="C22" i="15"/>
  <c r="D30" i="14"/>
  <c r="D20" i="14"/>
  <c r="C20" i="14"/>
  <c r="D12" i="14"/>
  <c r="D10" i="14"/>
  <c r="D9" i="30"/>
  <c r="B7" i="30"/>
  <c r="B11" i="30"/>
  <c r="F11" i="43"/>
  <c r="H10" i="34" l="1"/>
  <c r="J10" i="34"/>
  <c r="D11" i="18"/>
  <c r="D10" i="18" s="1"/>
  <c r="G10" i="34"/>
  <c r="I11" i="34"/>
  <c r="I10" i="34" s="1"/>
  <c r="L11" i="34" s="1"/>
  <c r="G15" i="43" l="1"/>
  <c r="G14" i="43"/>
  <c r="G13" i="43"/>
  <c r="E26" i="15" l="1"/>
  <c r="C26" i="15" s="1"/>
  <c r="E25" i="15"/>
  <c r="C25" i="15" s="1"/>
  <c r="D18" i="14"/>
  <c r="D13" i="14"/>
  <c r="C21" i="14" l="1"/>
  <c r="C22" i="14"/>
  <c r="D22" i="14" l="1"/>
  <c r="D15" i="43" l="1"/>
  <c r="D14" i="43"/>
  <c r="D13" i="43"/>
  <c r="G12" i="43"/>
  <c r="D12" i="43"/>
  <c r="F10" i="43"/>
  <c r="E10" i="43"/>
  <c r="C11" i="43"/>
  <c r="C10" i="43" s="1"/>
  <c r="B11" i="43"/>
  <c r="B10" i="43" s="1"/>
  <c r="D11" i="43" l="1"/>
  <c r="D10" i="43" s="1"/>
  <c r="C24" i="14"/>
  <c r="C19" i="14" s="1"/>
  <c r="D24" i="14"/>
  <c r="D8" i="15" l="1"/>
  <c r="D11" i="14" l="1"/>
  <c r="C11" i="14" s="1"/>
  <c r="A10" i="15" l="1"/>
  <c r="A13" i="15" s="1"/>
  <c r="A14" i="15" s="1"/>
  <c r="A15" i="15" s="1"/>
  <c r="A16" i="15" s="1"/>
  <c r="A17" i="15" s="1"/>
  <c r="A21" i="15" s="1"/>
  <c r="A22" i="15" s="1"/>
  <c r="A23" i="15" s="1"/>
  <c r="A24" i="15" s="1"/>
  <c r="A25" i="15" s="1"/>
  <c r="A26" i="15" s="1"/>
  <c r="C9" i="15"/>
  <c r="D29" i="14" l="1"/>
  <c r="C29" i="14"/>
  <c r="D19" i="14"/>
  <c r="D9" i="14"/>
  <c r="C9" i="14"/>
  <c r="C8" i="14" l="1"/>
  <c r="D8" i="14"/>
  <c r="G262" i="14" l="1"/>
  <c r="G263" i="14" s="1"/>
  <c r="G260" i="14"/>
  <c r="G261" i="14" s="1"/>
  <c r="C250" i="14"/>
  <c r="C248" i="14" s="1"/>
  <c r="C220" i="14" s="1"/>
  <c r="G249" i="14"/>
  <c r="I249" i="14" s="1"/>
  <c r="F249" i="14"/>
  <c r="H249" i="14" s="1"/>
  <c r="G248" i="14"/>
  <c r="I248" i="14" s="1"/>
  <c r="F248" i="14"/>
  <c r="H248" i="14" s="1"/>
  <c r="F247" i="14"/>
  <c r="F220" i="14"/>
  <c r="C216" i="14"/>
  <c r="C213" i="14"/>
  <c r="C208" i="14"/>
  <c r="C207" i="14" s="1"/>
  <c r="C205" i="14"/>
  <c r="C203" i="14"/>
  <c r="C197" i="14"/>
  <c r="C196" i="14"/>
  <c r="C192" i="14"/>
  <c r="C191" i="14"/>
  <c r="C186" i="14"/>
  <c r="C185" i="14"/>
  <c r="C180" i="14"/>
  <c r="C179" i="14"/>
  <c r="C174" i="14"/>
  <c r="C173" i="14"/>
  <c r="C165" i="14"/>
  <c r="C164" i="14"/>
  <c r="C163" i="14"/>
  <c r="F163" i="14" s="1"/>
  <c r="C162" i="14"/>
  <c r="F147" i="14"/>
  <c r="C147" i="14"/>
  <c r="F146" i="14"/>
  <c r="C146" i="14"/>
  <c r="C139" i="14"/>
  <c r="C136" i="14" s="1"/>
  <c r="C131" i="14"/>
  <c r="C130" i="14"/>
  <c r="C124" i="14"/>
  <c r="C121" i="14"/>
  <c r="C119" i="14" s="1"/>
  <c r="C118" i="14"/>
  <c r="C115" i="14" s="1"/>
  <c r="F113" i="14"/>
  <c r="C113" i="14"/>
  <c r="C112" i="14" s="1"/>
  <c r="C108" i="14"/>
  <c r="C105" i="14"/>
  <c r="C102" i="14" s="1"/>
  <c r="F100" i="14"/>
  <c r="C100" i="14"/>
  <c r="C97" i="14" s="1"/>
  <c r="C171" i="14" l="1"/>
  <c r="C183" i="14"/>
  <c r="J249" i="14"/>
  <c r="C129" i="14"/>
  <c r="C145" i="14"/>
  <c r="C177" i="14"/>
  <c r="C189" i="14"/>
  <c r="C202" i="14"/>
  <c r="C160" i="14"/>
  <c r="C111" i="14"/>
  <c r="C194" i="14"/>
  <c r="J248" i="14"/>
  <c r="C143" i="14"/>
  <c r="C142" i="14" s="1"/>
  <c r="C135" i="14" s="1"/>
  <c r="C96" i="14"/>
  <c r="C211" i="14"/>
  <c r="C210" i="14" s="1"/>
  <c r="C94" i="14" l="1"/>
  <c r="C200" i="14"/>
  <c r="C134" i="14" l="1"/>
  <c r="C92" i="14" s="1"/>
  <c r="C91" i="14" s="1"/>
  <c r="C95" i="14" l="1"/>
  <c r="D7" i="30" l="1"/>
  <c r="E8" i="15"/>
  <c r="C24" i="15"/>
  <c r="C8" i="15" s="1"/>
  <c r="G8" i="15" s="1"/>
</calcChain>
</file>

<file path=xl/comments1.xml><?xml version="1.0" encoding="utf-8"?>
<comments xmlns="http://schemas.openxmlformats.org/spreadsheetml/2006/main">
  <authors>
    <author>Customer</author>
  </authors>
  <commentList>
    <comment ref="B220" authorId="0">
      <text>
        <r>
          <rPr>
            <b/>
            <sz val="9"/>
            <color indexed="81"/>
            <rFont val="Tahoma"/>
            <family val="2"/>
          </rPr>
          <t>Customer:</t>
        </r>
        <r>
          <rPr>
            <sz val="9"/>
            <color indexed="81"/>
            <rFont val="Tahoma"/>
            <family val="2"/>
          </rPr>
          <t xml:space="preserve">
</t>
        </r>
      </text>
    </comment>
  </commentList>
</comments>
</file>

<file path=xl/sharedStrings.xml><?xml version="1.0" encoding="utf-8"?>
<sst xmlns="http://schemas.openxmlformats.org/spreadsheetml/2006/main" count="533" uniqueCount="337">
  <si>
    <t>TT</t>
  </si>
  <si>
    <t>A</t>
  </si>
  <si>
    <t>I</t>
  </si>
  <si>
    <t>II</t>
  </si>
  <si>
    <t>Chi thường xuyên</t>
  </si>
  <si>
    <t>Chi cho ngành Quốc phòng, An ninh</t>
  </si>
  <si>
    <t>1.1</t>
  </si>
  <si>
    <t>Chi cho ngành Quốc phòng</t>
  </si>
  <si>
    <t>-</t>
  </si>
  <si>
    <t>Phụ cấp phó xã đội</t>
  </si>
  <si>
    <t>Kinh phí hoạt động</t>
  </si>
  <si>
    <t>1.2</t>
  </si>
  <si>
    <t>Phụ cấp phó công an</t>
  </si>
  <si>
    <t>Chi hỗ trợ KP đào tạo, bồi dưỡng cán bộ</t>
  </si>
  <si>
    <t>Chi sự nghiệp y tế-Dân số</t>
  </si>
  <si>
    <t>Chi sự nghiệp kinh tế</t>
  </si>
  <si>
    <t>Chi sự nghiệp xã hội</t>
  </si>
  <si>
    <t>Trợ cấp các đối tượng TNXP</t>
  </si>
  <si>
    <t>Chi cho quản lý NN, Đảng, đoàn thể</t>
  </si>
  <si>
    <t>Lương, phụ cấp phó chủ tịch HĐND xã</t>
  </si>
  <si>
    <t>Chi cho Khối UBND xã</t>
  </si>
  <si>
    <t>Chi các hoạt động chuyên môn nghiệp vụ</t>
  </si>
  <si>
    <t>Chi trả tiền điện sinh hoạt</t>
  </si>
  <si>
    <t>Chi khen thưởng</t>
  </si>
  <si>
    <t>Chi cho Đoàn Thanh niên</t>
  </si>
  <si>
    <t>Phụ cấp Bí thư các chi đoàn</t>
  </si>
  <si>
    <t xml:space="preserve">Kinh phí hoạt động </t>
  </si>
  <si>
    <t>Chi cho hội phụ nữ</t>
  </si>
  <si>
    <t>Phụ cấp chi hội trưởng các chi hội</t>
  </si>
  <si>
    <t>Chi cho hội Nông dân</t>
  </si>
  <si>
    <t>Chi cho hội CCB</t>
  </si>
  <si>
    <t>Chi cho tổ chức Đảng</t>
  </si>
  <si>
    <t>Phụ cấp BCH Đảng ủy</t>
  </si>
  <si>
    <t>Chi cho tổ chức Mặt trận</t>
  </si>
  <si>
    <t>Kinh phí hỗ trợ hoạt động khu dân cư</t>
  </si>
  <si>
    <t>Chi cho hội Người cao tuổi</t>
  </si>
  <si>
    <t>III</t>
  </si>
  <si>
    <t xml:space="preserve">Chi trả phụ cấp y tế thôn bản </t>
  </si>
  <si>
    <t>IV</t>
  </si>
  <si>
    <t xml:space="preserve">Phụ cấp thôn đội trưởng ,trách nhiệm </t>
  </si>
  <si>
    <t xml:space="preserve">Phụ cấp công an viên </t>
  </si>
  <si>
    <t>Xây dựng hồ sơ tàng thư hộ khẩu</t>
  </si>
  <si>
    <t>Hộ trợ phụ cấp giáo viên mầm non</t>
  </si>
  <si>
    <t>Chi trả phụ cấp chuyên trách dân số</t>
  </si>
  <si>
    <t>KP hoạt động ngành Dân số xã</t>
  </si>
  <si>
    <t>Chi sự nghiệp văn hóa, TDTT</t>
  </si>
  <si>
    <t>Công tác phát thanh xã</t>
  </si>
  <si>
    <t>Hoạt động văn hóa</t>
  </si>
  <si>
    <t>Hoạt động tuyên truyền</t>
  </si>
  <si>
    <t>Hoạt động quản lý thủy lợi</t>
  </si>
  <si>
    <t>Chi công tác khuyến nông -thú y</t>
  </si>
  <si>
    <t>Cán bộ 130-111 + Nộp Bảo hiểm y tế</t>
  </si>
  <si>
    <t>Chi thăm điếu , khánh tiết</t>
  </si>
  <si>
    <t xml:space="preserve">Chi trả phụ cấp thôn trưởng </t>
  </si>
  <si>
    <t xml:space="preserve">Công tác cải cách  ISO hành chính </t>
  </si>
  <si>
    <t>Hộ trợ khác</t>
  </si>
  <si>
    <t xml:space="preserve">Phụ cấp Bí thư chi bộ </t>
  </si>
  <si>
    <t>Báo cáo viên - tuyên giáo</t>
  </si>
  <si>
    <t>Chi báo Đảng</t>
  </si>
  <si>
    <t>Hoạt động ban tuyên giáo UB KT</t>
  </si>
  <si>
    <t>Phụ cấp cấp phó</t>
  </si>
  <si>
    <t>Ban vì sự tiến bộ phụ nữ</t>
  </si>
  <si>
    <t>Phụ cấp chủ tịch hội người CT</t>
  </si>
  <si>
    <t>Phụ cấp cấp phó + thường vụ</t>
  </si>
  <si>
    <t>Phụ cấp</t>
  </si>
  <si>
    <t>KP hoạt động</t>
  </si>
  <si>
    <t>Chi cho hội khuyến học</t>
  </si>
  <si>
    <t>Hoạt động</t>
  </si>
  <si>
    <t>Chi chương trình MTQGXDNTM</t>
  </si>
  <si>
    <t>Chi cho hội cựu giáo chức</t>
  </si>
  <si>
    <t>Chi hội cựu thanh niên xung phong</t>
  </si>
  <si>
    <t>Các tổ chức khác</t>
  </si>
  <si>
    <t>b</t>
  </si>
  <si>
    <t>c</t>
  </si>
  <si>
    <t>e</t>
  </si>
  <si>
    <t xml:space="preserve">Chi hỗ trợ HĐ của các tổ chức xã hội </t>
  </si>
  <si>
    <t>Chi cho ngành Công an</t>
  </si>
  <si>
    <t>7.1</t>
  </si>
  <si>
    <t>7.1.1</t>
  </si>
  <si>
    <t>7.1.2</t>
  </si>
  <si>
    <t>Chi trả phụ cấp dân số thôn</t>
  </si>
  <si>
    <t>Lương, phụ cấp+ BHXH, BHYT cán bộ công chức</t>
  </si>
  <si>
    <t>Chi quản lý tài nguyên, môi trường</t>
  </si>
  <si>
    <t>7.2</t>
  </si>
  <si>
    <t>7.3</t>
  </si>
  <si>
    <t>7.4</t>
  </si>
  <si>
    <t>7.5</t>
  </si>
  <si>
    <t>7.6</t>
  </si>
  <si>
    <t>7.7</t>
  </si>
  <si>
    <t>ĐVT: đồng</t>
  </si>
  <si>
    <t>TỔNG CHI NGÂN SÁCH</t>
  </si>
  <si>
    <t>B</t>
  </si>
  <si>
    <t>C</t>
  </si>
  <si>
    <t>CHI ĐẦU TƯ VÀ CTMTQG XDNTM</t>
  </si>
  <si>
    <t>Chi sự nghiệp y tế</t>
  </si>
  <si>
    <t>Chi sự nghiệp dân số</t>
  </si>
  <si>
    <t>a</t>
  </si>
  <si>
    <t>Lương, phụ cấp cán bộ công chức +BHXH</t>
  </si>
  <si>
    <t>Lương, phụ cấp, BHXH, BHYT trưởng Quân sự</t>
  </si>
  <si>
    <t>Lương, PC, BHXH, BHYT cán bộ chức danh</t>
  </si>
  <si>
    <t>Phụ cấp kiêm nhiệm CT HĐND xã</t>
  </si>
  <si>
    <t>KP hoạt động các ban HĐND xã</t>
  </si>
  <si>
    <t>Tài liệu tư pháp - một cửa</t>
  </si>
  <si>
    <t>Chi mua dụng cụ ,văn phòng phẩm, giấy phô tô tài liệu</t>
  </si>
  <si>
    <t>Phụ cấp UVUB Kiểm tra Đảng</t>
  </si>
  <si>
    <t xml:space="preserve">- </t>
  </si>
  <si>
    <t>Phụ cấp cán bộ hợp đồng, BCT+ Nộp BHXH, BHYT</t>
  </si>
  <si>
    <t>Công tác lưu trữ</t>
  </si>
  <si>
    <t>Hoạt động NTM</t>
  </si>
  <si>
    <t>Chi hoạt động ngành y tế +kỷ niệm ngày Thầy thuốc</t>
  </si>
  <si>
    <t>Phí, lệ phí</t>
  </si>
  <si>
    <t>Chi công tác chính sách, bảo trợ xã hội</t>
  </si>
  <si>
    <t>Kinh phí hoạt động HĐND xã</t>
  </si>
  <si>
    <t xml:space="preserve">Trong đó </t>
  </si>
  <si>
    <t>Lương + phụ cấp</t>
  </si>
  <si>
    <t>Chi hoạt động</t>
  </si>
  <si>
    <t>GHI CHÚ</t>
  </si>
  <si>
    <t>NỘI DUNG</t>
  </si>
  <si>
    <t xml:space="preserve">Chi cho ngành giao thông </t>
  </si>
  <si>
    <t>7.8</t>
  </si>
  <si>
    <t>7.8.1</t>
  </si>
  <si>
    <t>7.8.2</t>
  </si>
  <si>
    <t>7.8.3</t>
  </si>
  <si>
    <t>7.8.4</t>
  </si>
  <si>
    <t>7.8.5</t>
  </si>
  <si>
    <t>7.8.7</t>
  </si>
  <si>
    <t>Chi trả nợ xây dựng và trả nợ tiền đo đạc bản đồ địa chính</t>
  </si>
  <si>
    <t xml:space="preserve">Tổ chức hoạt động các ngày lễ,  tết </t>
  </si>
  <si>
    <t>Chi cho nghành giáo dục, đào tạo</t>
  </si>
  <si>
    <t>Chi Quản lý Nhà nước, HĐND xã</t>
  </si>
  <si>
    <t>Chi hội chữ thập đỏ - các tổ chức hội tương đồng</t>
  </si>
  <si>
    <t>Lương, phụ cấp + BHXH+BHYT cán bộ công chức</t>
  </si>
  <si>
    <t>DỰ TOÁN</t>
  </si>
  <si>
    <t>Chi hội trưởng Chi hội NCT</t>
  </si>
  <si>
    <t>PC cấp ủy các thôn</t>
  </si>
  <si>
    <t>Hội nghị , tiếp khách, nước uống</t>
  </si>
  <si>
    <t>Chi trả tiền đo đạc bản đồ địa chính và cấp GCNQSD đất</t>
  </si>
  <si>
    <t>Trả nợ nâng cấp mặt bằng trường Tiểu học năm 2014</t>
  </si>
  <si>
    <t>Trả nợ lắp đặt bàn đá bếp trường MN năm 2013</t>
  </si>
  <si>
    <t>Sửa chữa máy in+đổ mực máy phô tô</t>
  </si>
  <si>
    <t>Trả nợ mua thiết bị tin học</t>
  </si>
  <si>
    <t>Mua máy bơm nước</t>
  </si>
  <si>
    <t>Trả nợ nâng cấp mái trường nhà học 12 phòng 2 tầng THCS Đại Thành từ nguồn đóng góp học sinh</t>
  </si>
  <si>
    <t>Trả nợ lắp đặt cánh cửa nhà làm việc 3 tầng</t>
  </si>
  <si>
    <t>g</t>
  </si>
  <si>
    <t>Nguyễn Thị Thanh</t>
  </si>
  <si>
    <t>NGƯỜI LẬP DỰ TOÁN</t>
  </si>
  <si>
    <t>Sữa chữa mạng internét sau sét đánh</t>
  </si>
  <si>
    <t>Sữa chữa đường điện chiếu sáng</t>
  </si>
  <si>
    <t>Nạo vét mương tiêu, cắt cỏ, dọn dẹp tại sân VĐ</t>
  </si>
  <si>
    <t>Lắp đặt phần mềm Thông tin điện tử</t>
  </si>
  <si>
    <t>Bổ sung từ NS huyện</t>
  </si>
  <si>
    <t>Tiền điện thoại- INTENET, nước sạch</t>
  </si>
  <si>
    <t>Chi thuê người san đất biên hoà tại khu vực UB</t>
  </si>
  <si>
    <t>Chuyển trả nợ hỗ trợ KP nâng cấp NVH Đông Nam Lộ</t>
  </si>
  <si>
    <t>Chuyển trả nguồn đối ứng kênh N32 đến thôn An Việt</t>
  </si>
  <si>
    <t>Đổ đất khuôn viên trạm y tế</t>
  </si>
  <si>
    <t>Chi trả nợ mua sắm thiết bị nhà văn hoá</t>
  </si>
  <si>
    <t xml:space="preserve"> Chi trả nợ NC sân vận động</t>
  </si>
  <si>
    <t>Kinh phí hoạt động Đoàn</t>
  </si>
  <si>
    <t>Kinh phí hoạt động Đội</t>
  </si>
  <si>
    <t>Kinh phí đại hội nhiệm kỳ 2018-2023</t>
  </si>
  <si>
    <t xml:space="preserve">Hoạt động công đoàn xã </t>
  </si>
  <si>
    <t>Chi quy hoạch đất dân cư</t>
  </si>
  <si>
    <t xml:space="preserve">Chi nâng cấp 5 phòng học trường Mầm Non </t>
  </si>
  <si>
    <t>CHỦ TỊCH</t>
  </si>
  <si>
    <t>Dương Đức Quế</t>
  </si>
  <si>
    <t>Công tác xóa bỏ bờ thừa, cất bốc mộ vô chủ</t>
  </si>
  <si>
    <t>Kinh phí hoạt động Ban thanh tra ND</t>
  </si>
  <si>
    <t xml:space="preserve">Hộ trợ khu dân cư mẩu </t>
  </si>
  <si>
    <t>Phụ cấp NTM</t>
  </si>
  <si>
    <t>Chi trừ cân đối tiền hỗ trợ chính sách xi măng 2017</t>
  </si>
  <si>
    <t>Chi mua sắm ,sữa chữa tài sản</t>
  </si>
  <si>
    <t>Xây dựng, nâng cấp khuôn viên UBND xã</t>
  </si>
  <si>
    <t xml:space="preserve">Chi công tác QLNS, thuế, PA(kể cả cung cấp PT, PC, sổ sách cho các thôn+ kỷ niệm ngày TL ngành) </t>
  </si>
  <si>
    <t>(NS huyện bố trí 10 triệu tiền GB tại huyện và ngày TL ngành tại huyện)</t>
  </si>
  <si>
    <t>TM. UỶ BAN NHÂN DÂN</t>
  </si>
  <si>
    <t xml:space="preserve">Chi  thể dục thể thao </t>
  </si>
  <si>
    <t>KP xây dựng lịch sử Đảng (đợt 1)</t>
  </si>
  <si>
    <t>Hoạt động (bao gồm cả học tập theo QĐ 281)</t>
  </si>
  <si>
    <t>7.8.6</t>
  </si>
  <si>
    <t>Khu vui chơi giải trí cho người già và trẻ em</t>
  </si>
  <si>
    <t>Chi hỗ trợ nhà văn hóa thôn</t>
  </si>
  <si>
    <t>Chi Hội đồng nhân dân xã</t>
  </si>
  <si>
    <t>9.1</t>
  </si>
  <si>
    <t>9.2</t>
  </si>
  <si>
    <t>9.3</t>
  </si>
  <si>
    <t>Cẩm Thành, ngày 25 tháng 12 năm 2017</t>
  </si>
  <si>
    <t>PC Đại biểu HĐND xã + BHYT cho ĐB HĐND xã</t>
  </si>
  <si>
    <t>DỰ PHÒNG NGÂN SÁCH</t>
  </si>
  <si>
    <t xml:space="preserve">Trên đây là dự toán NS 2018 rất mong được sự đóng góp ý kiến của quý vị đại biểu và quý vị đại biểu HĐND </t>
  </si>
  <si>
    <t>(Dự toán đã được Hội đồng nhân dân quyết định)</t>
  </si>
  <si>
    <t>NỘI DUNG CHI</t>
  </si>
  <si>
    <t>TỔNG SỐ THU</t>
  </si>
  <si>
    <t>TỔNG SỐ CHI</t>
  </si>
  <si>
    <t>Chi quốc phòng</t>
  </si>
  <si>
    <t>Dự phòng ngân sách</t>
  </si>
  <si>
    <t>UBND XÃ CẨM THÀNH</t>
  </si>
  <si>
    <t>Biểu số 109/CK-TC-NSNN</t>
  </si>
  <si>
    <t>Biểu số 110/CK-TC-NSNN</t>
  </si>
  <si>
    <t>TỔNG SỐ</t>
  </si>
  <si>
    <t>Chi các hoạt động kinh tế</t>
  </si>
  <si>
    <t>Đơn vị: 1000 đồng</t>
  </si>
  <si>
    <t>Thu khác</t>
  </si>
  <si>
    <t>…</t>
  </si>
  <si>
    <t>TỔNG CHI</t>
  </si>
  <si>
    <t>Chi thể dục thể thao</t>
  </si>
  <si>
    <t>THU</t>
  </si>
  <si>
    <t>CHI</t>
  </si>
  <si>
    <t>CHÊNH LỆCH (+) (-)</t>
  </si>
  <si>
    <t xml:space="preserve">1. Các quỹ tài chính nhà nước ngoài ngân sách </t>
  </si>
  <si>
    <t>2. Các hoạt động sự nghiệp</t>
  </si>
  <si>
    <t>+ Chợ</t>
  </si>
  <si>
    <t>+ Bến bãi</t>
  </si>
  <si>
    <t xml:space="preserve">+ </t>
  </si>
  <si>
    <t>+ …</t>
  </si>
  <si>
    <t>(năm hiện hành)</t>
  </si>
  <si>
    <t>Nội dung</t>
  </si>
  <si>
    <t>Thu NSNN</t>
  </si>
  <si>
    <t>Thu NSX</t>
  </si>
  <si>
    <t>Quỹ Phòng chống thiên tai</t>
  </si>
  <si>
    <t>Quỹ Đền ơn đáp nghĩa</t>
  </si>
  <si>
    <t>Biểu số 112/CK TC-NSNN</t>
  </si>
  <si>
    <t>Quỹ bảo trợ trẻ em</t>
  </si>
  <si>
    <t>Quỹ An ninh Quốc phòng</t>
  </si>
  <si>
    <t xml:space="preserve"> DỰ TOÁN CHI NGÂN SÁCH NĂM 2019</t>
  </si>
  <si>
    <t>ĐVT: 1000 đồng</t>
  </si>
  <si>
    <t>Thuế sử dụng đất phi nông nghiệp</t>
  </si>
  <si>
    <t>Thu xử phạt vi phạm hành chính, phạt, tịch thu khác trong các lĩnh vực do xã quản lý</t>
  </si>
  <si>
    <t>Thu từ bán tài sản nhà nước</t>
  </si>
  <si>
    <t>Thu vận động đóng góp của nhân dân theo pháp lệnh 34</t>
  </si>
  <si>
    <t>Thu vận động đóng góp tự nguyện của các tổ chức, cá nhân</t>
  </si>
  <si>
    <t>Thu kết dư</t>
  </si>
  <si>
    <t>Thuế tiêu thụ đặc biệt</t>
  </si>
  <si>
    <t>Thuế thu nhập cá nhân từ BĐS</t>
  </si>
  <si>
    <t xml:space="preserve">TỔNG THU </t>
  </si>
  <si>
    <t>I. Các khoản thu 100%</t>
  </si>
  <si>
    <t>Thu từ sử dụng quỹ đất công ích và thu hoa lợi công sản khác</t>
  </si>
  <si>
    <t>Các khoản thu phân chia theo tỷ lệ % cho xã</t>
  </si>
  <si>
    <t>Thuế GTGT</t>
  </si>
  <si>
    <t>Thuế tài nguyên</t>
  </si>
  <si>
    <t>Thuê đất</t>
  </si>
  <si>
    <t>Thu cấp quyền sử dụng đất</t>
  </si>
  <si>
    <t>Lệ phí trước bạ nhà đất</t>
  </si>
  <si>
    <t>VAT hộ cố định</t>
  </si>
  <si>
    <t>III. Thu bổ sung từ ngân sách cấp trên</t>
  </si>
  <si>
    <t>Bổ sung cân đối</t>
  </si>
  <si>
    <t>Bổ sung có mục tiêu</t>
  </si>
  <si>
    <t>Tổng cộng</t>
  </si>
  <si>
    <t>Trong đó</t>
  </si>
  <si>
    <t>ĐTPT</t>
  </si>
  <si>
    <t>TX</t>
  </si>
  <si>
    <t>Chi giáo dục - đào tạo và dạy nghề</t>
  </si>
  <si>
    <t xml:space="preserve"> -</t>
  </si>
  <si>
    <t>Chi sự nghiệp giáo dục</t>
  </si>
  <si>
    <t>Chi sự nghiệp đào tạo và dạy nghề</t>
  </si>
  <si>
    <t>Chi y tế, dân số và gia đình</t>
  </si>
  <si>
    <t>Chi khoa học và công nghệ</t>
  </si>
  <si>
    <t>Chi an ninh và trật tự an toàn xã hội</t>
  </si>
  <si>
    <t>Chi VHTT, TDTT và phát thanh, truyền hình, thông tấn</t>
  </si>
  <si>
    <t>Chi sự nghiệp văn hóa</t>
  </si>
  <si>
    <t>Chi phát thanh, truyền hình, thông tấn</t>
  </si>
  <si>
    <t>Chi bảo vệ môi trường, chi công tác đo đạc, lập cơ sở hồ sơ địa chính và cấp giấy chứng nhận quyền sử dụng đất, quy hoạch đất ở</t>
  </si>
  <si>
    <t>Chi đảm bảo xã hội</t>
  </si>
  <si>
    <t>Chi quản lý hành chính, đảng, đoàn thể</t>
  </si>
  <si>
    <t xml:space="preserve">Chi tạo nguồn thực hiện CCTL theo quy định </t>
  </si>
  <si>
    <t>Chi khác ngân sách</t>
  </si>
  <si>
    <t>(Tổng hợp theo Nghị quyết của Hội đồng nhân dân cấp xã)</t>
  </si>
  <si>
    <t>Số bên đầu tư nhớ khớp với biểu 06</t>
  </si>
  <si>
    <t>I. Các khoản thu xã hưởng 100%</t>
  </si>
  <si>
    <r>
      <t xml:space="preserve">II. Các khoản thu phân chia theo tỷ lệ </t>
    </r>
    <r>
      <rPr>
        <vertAlign val="superscript"/>
        <sz val="14"/>
        <rFont val="Times New Roman"/>
        <family val="1"/>
      </rPr>
      <t>(1)</t>
    </r>
  </si>
  <si>
    <t>II. Chi thường xuyên</t>
  </si>
  <si>
    <t xml:space="preserve">III. Thu bổ sung </t>
  </si>
  <si>
    <t>- Bổ sung cân đối</t>
  </si>
  <si>
    <t>- Bổ sung có mục tiêu</t>
  </si>
  <si>
    <t>I. Chi đầu tư phát triển</t>
  </si>
  <si>
    <t>Tên công trình</t>
  </si>
  <si>
    <t>Thời gian khởi công - hoàn thành</t>
  </si>
  <si>
    <t>Tổng dự toán được duyệt</t>
  </si>
  <si>
    <t>Tổng số</t>
  </si>
  <si>
    <t>Trong đó thanh toán khối lượng năm trước</t>
  </si>
  <si>
    <t>Chia theo nguồn vốn</t>
  </si>
  <si>
    <t>Nguồn cân đối ngân sách</t>
  </si>
  <si>
    <t>Nguồn đóng góp</t>
  </si>
  <si>
    <t>2. Công trình khởi công mới</t>
  </si>
  <si>
    <t>Biểu số 106/CK TC-NSNN</t>
  </si>
  <si>
    <t>(Dự toán trình Hội đồng nhân dân)</t>
  </si>
  <si>
    <t>Trong đó nguồn đóng góp của dân</t>
  </si>
  <si>
    <t xml:space="preserve">Ghi chú: (1) Theo phân cấp của tỉnh </t>
  </si>
  <si>
    <t>(Dự toán được Hội đồng nhân dân xã phê duyệt)</t>
  </si>
  <si>
    <t>Đơn vị: 1.000 đồng</t>
  </si>
  <si>
    <t>Quay ve</t>
  </si>
  <si>
    <t>III. Dự phòng</t>
  </si>
  <si>
    <t xml:space="preserve">Ghi chú: (1) Bao gồm 4 khoản thu từ thuế, lệ phí luật NSNN quy định cho ngân sách xã hưởng và những khoản thu ngân sách địa phương được hưởng có phân chia theo tỷ lệ phần trăm (%) cho xã </t>
  </si>
  <si>
    <t>Biểu số 107/CK TC-NSNN</t>
  </si>
  <si>
    <t>Biểu số 108/CK TC-NSNN</t>
  </si>
  <si>
    <t xml:space="preserve">IV. Thu chuyển nguồn </t>
  </si>
  <si>
    <t>Thuế thu nhập cá nhân</t>
  </si>
  <si>
    <t>2021-2022</t>
  </si>
  <si>
    <t>UBND XÃ CẨM QUANG</t>
  </si>
  <si>
    <t xml:space="preserve"> DỰ TOÁN THU NGÂN SÁCH NĂM 2023</t>
  </si>
  <si>
    <t xml:space="preserve">Chi kinh phí xi măng làm đường giao thông
</t>
  </si>
  <si>
    <t>Chi trả đường giao thông và bãi đậu xe thôn 6</t>
  </si>
  <si>
    <t>Dự toán năm 2023</t>
  </si>
  <si>
    <t>Chi xây dựng nhà đa chức năng và các hạng mục trường
 tiểu học</t>
  </si>
  <si>
    <t>Trong đó: hoàn thành trong năm 2023</t>
  </si>
  <si>
    <t>UBND XÃ CẨM quang</t>
  </si>
  <si>
    <t>DỰ TOÁN NĂM 2023</t>
  </si>
  <si>
    <t>Thu chuyển nguồn NS năm 2022 sang năm 2023</t>
  </si>
  <si>
    <t>Chi xây lắpTrường THCS Nguyễn Hữu Thái, hạng mục:nhà học số 2 và nhà truyền thống</t>
  </si>
  <si>
    <t xml:space="preserve">Chi xây lắp trường THCS Nguyễn Hữu Thái, hạng mục: cải tạo nhà học số 1 và nhà bộ môn </t>
  </si>
  <si>
    <t>CÂN ĐỐI DỰ TOÁN NGÂN SÁCH XÃ NĂM 2024</t>
  </si>
  <si>
    <t>DỰ TOÁN CHI NGÂN SÁCH XÃ NĂM 2024</t>
  </si>
  <si>
    <t>DỰ TOÁN CHI ĐẦU TƯ PHÁT TRIỂN NĂM 2024</t>
  </si>
  <si>
    <t>Giá trị thực hiện đến 31/12/2023</t>
  </si>
  <si>
    <t>Giá trị đã thanh toán đến 31/12/2023</t>
  </si>
  <si>
    <t xml:space="preserve">Nâng cấp đường vào nhà thờ giáo xứ Ngô xá </t>
  </si>
  <si>
    <t xml:space="preserve">Khu vui chơi giải trí và tiểu công viên 
</t>
  </si>
  <si>
    <t>Hạ tầng khu dân cư thôn 5</t>
  </si>
  <si>
    <t>Nhà bếp trường mầm non
 Cẩm Quang</t>
  </si>
  <si>
    <t>Cải tạo nhà làm việc 3 tầng trụ sở UBND xã</t>
  </si>
  <si>
    <t>Sân, hàng rào, KVC, SVĐ trường mần non Cẩm Quang</t>
  </si>
  <si>
    <t>Quy hoạch tổng mặt bằng sử dụng đất trụ sở làm việc công an xã</t>
  </si>
  <si>
    <t>Phục hồi, nâng cấp mặt đường BTXM theo cơ chế hỗ trợ XM năm 2023</t>
  </si>
  <si>
    <t xml:space="preserve">Sân trường, mương thoát nước trường THCS Nguyễn Hữu Thái </t>
  </si>
  <si>
    <t>Khu vui chơi giải trí xã Cẩm Quang: Hạng mục: San nền, mương thoát nước, hàng rào</t>
  </si>
  <si>
    <t>Phục hồi, nâng cấp mặt đường BTXM bằng vật liệu Cacboncor thôn NS, TS và NV</t>
  </si>
  <si>
    <t>Phục hồi, nâng cấp mặt đường BTXM bằng vật liệu Cacboncor thôn Quang Đồng</t>
  </si>
  <si>
    <t>Cải tạo nhà học 2 tầng 10 lớp xã Cẩm Quang</t>
  </si>
  <si>
    <t>Nhà vệ sinh trường tiểu học</t>
  </si>
  <si>
    <t>nhà đa chức năng thư viện 2 tầng trường tiểu học</t>
  </si>
  <si>
    <t>Nhà giao dịch một cửa</t>
  </si>
  <si>
    <t>Chi xây dựng khu mẫu</t>
  </si>
  <si>
    <t>1. Công trình đã hoàn thành QT</t>
  </si>
  <si>
    <t>KẾ HOẠCH THU, CHI CÁC HOẠT ĐỘNG TÀI CHÍNH KHÁC NĂM 2024</t>
  </si>
  <si>
    <t>KẾ HOẠCH NĂM 2024</t>
  </si>
  <si>
    <t>ƯỚC THỰC HIỆN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</si>
</sst>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_-* #,##0.00\ _₫_-;\-* #,##0.00\ _₫_-;_-* &quot;-&quot;??\ _₫_-;_-@_-"/>
    <numFmt numFmtId="166" formatCode="_(* #,##0_);_(* \(#,##0\);_(* &quot;-&quot;??_);_(@_)"/>
    <numFmt numFmtId="167" formatCode="_-* #,##0\ _₫_-;\-* #,##0\ _₫_-;_-* &quot;-&quot;??\ _₫_-;_-@_-"/>
    <numFmt numFmtId="168" formatCode="#,##0_ ;\-#,##0\ "/>
  </numFmts>
  <fonts count="49">
    <font>
      <sz val="12"/>
      <name val="Times New Roman"/>
      <charset val="163"/>
    </font>
    <font>
      <sz val="12"/>
      <name val="Times New Roman"/>
      <family val="1"/>
    </font>
    <font>
      <sz val="12"/>
      <name val=".VnTime"/>
      <family val="2"/>
    </font>
    <font>
      <sz val="8"/>
      <name val="Times New Roman"/>
      <family val="1"/>
    </font>
    <font>
      <b/>
      <sz val="10"/>
      <name val="Times New Roman"/>
      <family val="1"/>
    </font>
    <font>
      <b/>
      <sz val="13"/>
      <name val="Times New Roman"/>
      <family val="1"/>
    </font>
    <font>
      <sz val="12"/>
      <name val="Times New Roman"/>
      <family val="1"/>
    </font>
    <font>
      <b/>
      <sz val="12"/>
      <name val="Times New Roman"/>
      <family val="1"/>
    </font>
    <font>
      <b/>
      <i/>
      <sz val="12"/>
      <name val="Times New Roman"/>
      <family val="1"/>
    </font>
    <font>
      <i/>
      <sz val="12"/>
      <name val="Times New Roman"/>
      <family val="1"/>
    </font>
    <font>
      <b/>
      <i/>
      <sz val="12"/>
      <color indexed="8"/>
      <name val="Times New Roman"/>
      <family val="1"/>
    </font>
    <font>
      <b/>
      <sz val="15"/>
      <name val="Times New Roman"/>
      <family val="1"/>
    </font>
    <font>
      <b/>
      <sz val="14"/>
      <name val="Times New Roman"/>
      <family val="1"/>
    </font>
    <font>
      <sz val="9"/>
      <color indexed="81"/>
      <name val="Tahoma"/>
      <family val="2"/>
    </font>
    <font>
      <b/>
      <sz val="9"/>
      <color indexed="81"/>
      <name val="Tahoma"/>
      <family val="2"/>
    </font>
    <font>
      <sz val="12"/>
      <color indexed="10"/>
      <name val="Times New Roman"/>
      <family val="1"/>
    </font>
    <font>
      <b/>
      <sz val="12"/>
      <color indexed="8"/>
      <name val="Times New Roman"/>
      <family val="1"/>
    </font>
    <font>
      <sz val="11"/>
      <name val="Times New Roman"/>
      <family val="1"/>
    </font>
    <font>
      <b/>
      <sz val="8"/>
      <name val="Times New Roman"/>
      <family val="1"/>
    </font>
    <font>
      <i/>
      <sz val="8"/>
      <name val="Times New Roman"/>
      <family val="1"/>
    </font>
    <font>
      <b/>
      <i/>
      <sz val="8"/>
      <name val="Times New Roman"/>
      <family val="1"/>
    </font>
    <font>
      <b/>
      <i/>
      <sz val="8"/>
      <color indexed="8"/>
      <name val="Times New Roman"/>
      <family val="1"/>
    </font>
    <font>
      <i/>
      <sz val="8"/>
      <color indexed="8"/>
      <name val="Times New Roman"/>
      <family val="1"/>
    </font>
    <font>
      <sz val="12"/>
      <color indexed="8"/>
      <name val="Times New Roman"/>
      <family val="1"/>
    </font>
    <font>
      <i/>
      <sz val="12"/>
      <color indexed="8"/>
      <name val="Times New Roman"/>
      <family val="1"/>
    </font>
    <font>
      <i/>
      <sz val="10"/>
      <name val="Times New Roman"/>
      <family val="1"/>
    </font>
    <font>
      <b/>
      <sz val="14"/>
      <color rgb="FF000000"/>
      <name val="Times New Roman"/>
      <family val="1"/>
    </font>
    <font>
      <sz val="14"/>
      <name val="Times New Roman"/>
      <family val="1"/>
    </font>
    <font>
      <i/>
      <sz val="14"/>
      <color rgb="FF000000"/>
      <name val="Times New Roman"/>
      <family val="1"/>
    </font>
    <font>
      <b/>
      <sz val="16"/>
      <color rgb="FF000000"/>
      <name val="Times New Roman"/>
      <family val="1"/>
    </font>
    <font>
      <b/>
      <sz val="12"/>
      <color rgb="FF000000"/>
      <name val="Times New Roman"/>
      <family val="1"/>
    </font>
    <font>
      <i/>
      <sz val="13"/>
      <name val="Times New Roman"/>
      <family val="1"/>
    </font>
    <font>
      <b/>
      <sz val="12"/>
      <color theme="1"/>
      <name val="Times New Roman"/>
      <family val="1"/>
    </font>
    <font>
      <sz val="12"/>
      <color theme="1"/>
      <name val="Times New Roman"/>
      <family val="1"/>
    </font>
    <font>
      <sz val="13"/>
      <name val="Times New Roman"/>
      <family val="1"/>
    </font>
    <font>
      <sz val="13"/>
      <color theme="1"/>
      <name val="Times New Roman"/>
      <family val="1"/>
    </font>
    <font>
      <b/>
      <sz val="13"/>
      <color theme="1"/>
      <name val="Times New Roman"/>
      <family val="1"/>
    </font>
    <font>
      <b/>
      <sz val="13"/>
      <color indexed="10"/>
      <name val="Times New Roman"/>
      <family val="1"/>
    </font>
    <font>
      <sz val="14"/>
      <color indexed="8"/>
      <name val="Times New Roman"/>
      <family val="1"/>
    </font>
    <font>
      <vertAlign val="superscript"/>
      <sz val="14"/>
      <name val="Times New Roman"/>
      <family val="1"/>
    </font>
    <font>
      <i/>
      <sz val="12"/>
      <color rgb="FF000000"/>
      <name val="Times New Roman"/>
      <family val="1"/>
    </font>
    <font>
      <sz val="10"/>
      <name val="Arial"/>
      <family val="2"/>
    </font>
    <font>
      <b/>
      <sz val="11"/>
      <name val="Times New Roman"/>
      <family val="1"/>
    </font>
    <font>
      <i/>
      <sz val="10"/>
      <color rgb="FF000000"/>
      <name val="Arial"/>
      <family val="2"/>
    </font>
    <font>
      <b/>
      <sz val="10"/>
      <color rgb="FF000000"/>
      <name val="Times New Roman"/>
      <family val="1"/>
    </font>
    <font>
      <i/>
      <sz val="10"/>
      <color rgb="FF000000"/>
      <name val="Times New Roman"/>
      <family val="1"/>
    </font>
    <font>
      <b/>
      <sz val="14"/>
      <color indexed="8"/>
      <name val="Times New Roman"/>
      <family val="1"/>
    </font>
    <font>
      <u/>
      <sz val="11"/>
      <color theme="10"/>
      <name val="Calibri"/>
      <family val="2"/>
      <charset val="163"/>
      <scheme val="minor"/>
    </font>
    <font>
      <i/>
      <sz val="14"/>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bottom style="dotted">
        <color rgb="FF00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s>
  <cellStyleXfs count="9">
    <xf numFmtId="0" fontId="0" fillId="0" borderId="0"/>
    <xf numFmtId="165" fontId="1" fillId="0" borderId="0" applyFont="0" applyFill="0" applyBorder="0" applyAlignment="0" applyProtection="0"/>
    <xf numFmtId="0" fontId="2" fillId="0" borderId="0"/>
    <xf numFmtId="0" fontId="17" fillId="0" borderId="0"/>
    <xf numFmtId="164" fontId="41" fillId="0" borderId="0" applyFont="0" applyFill="0" applyBorder="0" applyAlignment="0" applyProtection="0"/>
    <xf numFmtId="0" fontId="47" fillId="0" borderId="0" applyNumberFormat="0" applyFill="0" applyBorder="0" applyAlignment="0" applyProtection="0"/>
    <xf numFmtId="43" fontId="2" fillId="0" borderId="0" applyFont="0" applyFill="0" applyBorder="0" applyAlignment="0" applyProtection="0"/>
    <xf numFmtId="3" fontId="1" fillId="0" borderId="0">
      <alignment vertical="center" wrapText="1"/>
    </xf>
    <xf numFmtId="0" fontId="2" fillId="0" borderId="0"/>
  </cellStyleXfs>
  <cellXfs count="293">
    <xf numFmtId="0" fontId="0" fillId="0" borderId="0" xfId="0"/>
    <xf numFmtId="0" fontId="4" fillId="0" borderId="0" xfId="2" applyFont="1" applyBorder="1" applyAlignment="1">
      <alignment horizontal="left"/>
    </xf>
    <xf numFmtId="0" fontId="6" fillId="0" borderId="0" xfId="0" applyFont="1"/>
    <xf numFmtId="0" fontId="7" fillId="0" borderId="0" xfId="2" applyFont="1" applyBorder="1" applyAlignment="1">
      <alignment horizontal="left"/>
    </xf>
    <xf numFmtId="0" fontId="7" fillId="0" borderId="2" xfId="2" applyFont="1" applyBorder="1" applyAlignment="1">
      <alignment horizontal="left"/>
    </xf>
    <xf numFmtId="0" fontId="7" fillId="0" borderId="1" xfId="2" applyFont="1" applyBorder="1"/>
    <xf numFmtId="0" fontId="7" fillId="0" borderId="1" xfId="2" applyFont="1" applyFill="1" applyBorder="1"/>
    <xf numFmtId="0" fontId="7" fillId="0" borderId="0" xfId="2" applyFont="1" applyFill="1" applyBorder="1" applyAlignment="1"/>
    <xf numFmtId="166" fontId="7" fillId="0" borderId="0" xfId="1" applyNumberFormat="1" applyFont="1" applyBorder="1" applyAlignment="1">
      <alignment horizontal="left"/>
    </xf>
    <xf numFmtId="0" fontId="7" fillId="0" borderId="0" xfId="0" applyFont="1"/>
    <xf numFmtId="0" fontId="7" fillId="0" borderId="4" xfId="2" applyFont="1" applyFill="1" applyBorder="1"/>
    <xf numFmtId="0" fontId="9" fillId="0" borderId="1" xfId="2" applyFont="1" applyBorder="1"/>
    <xf numFmtId="0" fontId="9" fillId="0" borderId="0" xfId="0" applyFont="1"/>
    <xf numFmtId="0" fontId="1" fillId="0" borderId="1" xfId="2" applyFont="1" applyBorder="1"/>
    <xf numFmtId="0" fontId="1" fillId="0" borderId="1" xfId="2" applyFont="1" applyFill="1" applyBorder="1"/>
    <xf numFmtId="0" fontId="8" fillId="0" borderId="0" xfId="0" applyFont="1"/>
    <xf numFmtId="0" fontId="8" fillId="0" borderId="1" xfId="2" applyFont="1" applyFill="1" applyBorder="1"/>
    <xf numFmtId="0" fontId="1" fillId="0" borderId="1" xfId="0" applyFont="1" applyBorder="1"/>
    <xf numFmtId="0" fontId="1" fillId="0" borderId="0" xfId="0" applyFont="1"/>
    <xf numFmtId="0" fontId="8" fillId="0" borderId="1" xfId="2" applyFont="1" applyBorder="1"/>
    <xf numFmtId="0" fontId="1" fillId="0" borderId="2" xfId="2" applyFont="1" applyBorder="1"/>
    <xf numFmtId="0" fontId="8" fillId="0" borderId="2" xfId="2" applyFont="1" applyBorder="1"/>
    <xf numFmtId="0" fontId="7" fillId="0" borderId="2" xfId="2" applyFont="1" applyBorder="1" applyAlignment="1">
      <alignment horizontal="center"/>
    </xf>
    <xf numFmtId="0" fontId="7" fillId="0" borderId="1" xfId="2" applyFont="1" applyBorder="1" applyAlignment="1">
      <alignment horizontal="center"/>
    </xf>
    <xf numFmtId="0" fontId="1" fillId="0" borderId="1" xfId="2" quotePrefix="1" applyFont="1" applyBorder="1" applyAlignment="1">
      <alignment horizontal="center"/>
    </xf>
    <xf numFmtId="0" fontId="7" fillId="0" borderId="1" xfId="2" quotePrefix="1" applyFont="1" applyBorder="1" applyAlignment="1">
      <alignment horizontal="center"/>
    </xf>
    <xf numFmtId="0" fontId="8" fillId="0" borderId="1" xfId="2" applyFont="1" applyBorder="1" applyAlignment="1">
      <alignment horizontal="center"/>
    </xf>
    <xf numFmtId="0" fontId="9" fillId="0" borderId="1" xfId="2" applyFont="1" applyBorder="1" applyAlignment="1">
      <alignment horizontal="center"/>
    </xf>
    <xf numFmtId="0" fontId="1" fillId="0" borderId="1" xfId="2" applyFont="1" applyBorder="1" applyAlignment="1">
      <alignment horizontal="center"/>
    </xf>
    <xf numFmtId="0" fontId="1" fillId="0" borderId="3" xfId="2" applyFont="1" applyFill="1" applyBorder="1"/>
    <xf numFmtId="0" fontId="10" fillId="0" borderId="1" xfId="0" applyFont="1" applyBorder="1"/>
    <xf numFmtId="0" fontId="7" fillId="0" borderId="4" xfId="2" applyFont="1" applyBorder="1" applyAlignment="1">
      <alignment horizontal="center"/>
    </xf>
    <xf numFmtId="0" fontId="7" fillId="0" borderId="0" xfId="2" applyFont="1" applyBorder="1" applyAlignment="1">
      <alignment horizontal="center"/>
    </xf>
    <xf numFmtId="0" fontId="7" fillId="0" borderId="0" xfId="2" applyFont="1" applyFill="1" applyBorder="1"/>
    <xf numFmtId="0" fontId="1" fillId="0" borderId="3" xfId="2" applyFont="1" applyBorder="1"/>
    <xf numFmtId="9" fontId="9" fillId="0" borderId="0" xfId="0" applyNumberFormat="1" applyFont="1"/>
    <xf numFmtId="0" fontId="8" fillId="0" borderId="1" xfId="2" applyFont="1" applyBorder="1" applyAlignment="1">
      <alignment horizontal="center" wrapText="1"/>
    </xf>
    <xf numFmtId="0" fontId="8" fillId="0" borderId="1" xfId="2" applyFont="1" applyFill="1" applyBorder="1" applyAlignment="1">
      <alignment wrapText="1"/>
    </xf>
    <xf numFmtId="0" fontId="8" fillId="0" borderId="0" xfId="0" applyFont="1" applyAlignment="1">
      <alignment wrapText="1"/>
    </xf>
    <xf numFmtId="0" fontId="8" fillId="0" borderId="1" xfId="2" applyFont="1" applyBorder="1" applyAlignment="1">
      <alignment horizontal="center" vertical="center" wrapText="1"/>
    </xf>
    <xf numFmtId="0" fontId="8" fillId="0" borderId="0" xfId="0" applyFont="1" applyAlignment="1">
      <alignment horizontal="center" vertical="center" wrapText="1"/>
    </xf>
    <xf numFmtId="0" fontId="8" fillId="0" borderId="1" xfId="2" applyFont="1" applyBorder="1" applyAlignment="1">
      <alignment horizontal="left" vertical="center" wrapText="1"/>
    </xf>
    <xf numFmtId="0" fontId="5" fillId="0" borderId="0" xfId="2" applyFont="1" applyFill="1" applyBorder="1"/>
    <xf numFmtId="166" fontId="5" fillId="0" borderId="0" xfId="1" applyNumberFormat="1" applyFont="1" applyBorder="1" applyAlignment="1">
      <alignment horizontal="left"/>
    </xf>
    <xf numFmtId="166" fontId="5" fillId="0" borderId="0" xfId="1" applyNumberFormat="1" applyFont="1" applyBorder="1" applyAlignment="1"/>
    <xf numFmtId="166" fontId="1" fillId="0" borderId="0" xfId="0" applyNumberFormat="1" applyFont="1"/>
    <xf numFmtId="0" fontId="9" fillId="0" borderId="1" xfId="2" applyFont="1" applyBorder="1" applyAlignment="1">
      <alignment wrapText="1"/>
    </xf>
    <xf numFmtId="0" fontId="9" fillId="0" borderId="0" xfId="0" applyFont="1" applyAlignment="1">
      <alignment wrapText="1"/>
    </xf>
    <xf numFmtId="0" fontId="7" fillId="0" borderId="0" xfId="0" applyFont="1" applyBorder="1"/>
    <xf numFmtId="0" fontId="16" fillId="2" borderId="1" xfId="0" applyFont="1" applyFill="1" applyBorder="1"/>
    <xf numFmtId="0" fontId="7" fillId="2" borderId="1" xfId="2" applyFont="1" applyFill="1" applyBorder="1"/>
    <xf numFmtId="0" fontId="1" fillId="2" borderId="1" xfId="2" applyFont="1" applyFill="1" applyBorder="1"/>
    <xf numFmtId="0" fontId="8" fillId="2" borderId="1" xfId="2" applyFont="1" applyFill="1" applyBorder="1"/>
    <xf numFmtId="167" fontId="1" fillId="0" borderId="0" xfId="1" applyNumberFormat="1" applyFont="1"/>
    <xf numFmtId="167" fontId="1" fillId="0" borderId="0" xfId="0" applyNumberFormat="1" applyFont="1"/>
    <xf numFmtId="0" fontId="9" fillId="0" borderId="2" xfId="2" applyFont="1" applyBorder="1"/>
    <xf numFmtId="0" fontId="9" fillId="0" borderId="1" xfId="2" quotePrefix="1" applyFont="1" applyBorder="1" applyAlignment="1">
      <alignment horizontal="center"/>
    </xf>
    <xf numFmtId="166" fontId="8" fillId="0" borderId="0" xfId="0" applyNumberFormat="1" applyFont="1" applyAlignment="1">
      <alignment horizontal="center" vertical="center" wrapText="1"/>
    </xf>
    <xf numFmtId="0" fontId="7" fillId="0" borderId="0" xfId="0" applyFont="1" applyBorder="1" applyAlignment="1">
      <alignment horizontal="center"/>
    </xf>
    <xf numFmtId="0" fontId="3" fillId="0" borderId="0" xfId="0" applyFont="1"/>
    <xf numFmtId="0" fontId="3" fillId="0" borderId="1" xfId="0" applyFont="1" applyBorder="1"/>
    <xf numFmtId="0" fontId="3" fillId="0" borderId="0" xfId="0" applyFont="1" applyBorder="1"/>
    <xf numFmtId="0" fontId="3" fillId="0" borderId="5" xfId="0" applyFont="1" applyBorder="1"/>
    <xf numFmtId="0" fontId="19" fillId="0" borderId="1" xfId="0" applyFont="1" applyBorder="1"/>
    <xf numFmtId="167" fontId="19" fillId="0" borderId="1" xfId="1" applyNumberFormat="1" applyFont="1" applyBorder="1"/>
    <xf numFmtId="167" fontId="3" fillId="0" borderId="1" xfId="1" applyNumberFormat="1" applyFont="1" applyBorder="1"/>
    <xf numFmtId="167" fontId="18" fillId="0" borderId="1" xfId="1" applyNumberFormat="1" applyFont="1" applyBorder="1"/>
    <xf numFmtId="166" fontId="19" fillId="0" borderId="1" xfId="0" applyNumberFormat="1" applyFont="1" applyBorder="1"/>
    <xf numFmtId="0" fontId="20" fillId="0" borderId="1" xfId="0" applyFont="1" applyBorder="1"/>
    <xf numFmtId="0" fontId="3" fillId="0" borderId="1" xfId="0" applyFont="1" applyBorder="1" applyAlignment="1">
      <alignment wrapText="1"/>
    </xf>
    <xf numFmtId="166" fontId="18" fillId="0" borderId="1" xfId="1" applyNumberFormat="1" applyFont="1" applyBorder="1"/>
    <xf numFmtId="166" fontId="3" fillId="0" borderId="1" xfId="0" applyNumberFormat="1" applyFont="1" applyBorder="1"/>
    <xf numFmtId="3" fontId="21" fillId="2" borderId="1" xfId="0" applyNumberFormat="1" applyFont="1" applyFill="1" applyBorder="1" applyAlignment="1"/>
    <xf numFmtId="3" fontId="22" fillId="2" borderId="1" xfId="0" applyNumberFormat="1" applyFont="1" applyFill="1" applyBorder="1" applyAlignment="1"/>
    <xf numFmtId="0" fontId="20" fillId="0" borderId="1" xfId="0" applyFont="1" applyBorder="1" applyAlignment="1">
      <alignment horizontal="center" vertical="center" wrapText="1"/>
    </xf>
    <xf numFmtId="0" fontId="19" fillId="0" borderId="1" xfId="0" applyFont="1" applyBorder="1" applyAlignment="1">
      <alignment wrapText="1"/>
    </xf>
    <xf numFmtId="0" fontId="3" fillId="0" borderId="4" xfId="0" applyFont="1" applyBorder="1"/>
    <xf numFmtId="0" fontId="5" fillId="0" borderId="0" xfId="0" applyFont="1"/>
    <xf numFmtId="0" fontId="18" fillId="0" borderId="0" xfId="0" applyFont="1"/>
    <xf numFmtId="167" fontId="8" fillId="0" borderId="0" xfId="1" applyNumberFormat="1" applyFont="1"/>
    <xf numFmtId="167" fontId="9" fillId="0" borderId="0" xfId="1" applyNumberFormat="1" applyFont="1"/>
    <xf numFmtId="167" fontId="8" fillId="0" borderId="0" xfId="0" applyNumberFormat="1" applyFont="1"/>
    <xf numFmtId="3" fontId="7" fillId="2" borderId="0" xfId="0" applyNumberFormat="1" applyFont="1" applyFill="1" applyAlignment="1">
      <alignment horizontal="center"/>
    </xf>
    <xf numFmtId="3" fontId="6" fillId="2" borderId="0" xfId="1" applyNumberFormat="1" applyFont="1" applyFill="1"/>
    <xf numFmtId="3" fontId="7" fillId="2" borderId="1" xfId="1" applyNumberFormat="1" applyFont="1" applyFill="1" applyBorder="1"/>
    <xf numFmtId="3" fontId="9" fillId="2" borderId="1" xfId="1" applyNumberFormat="1" applyFont="1" applyFill="1" applyBorder="1"/>
    <xf numFmtId="3" fontId="6" fillId="2" borderId="0" xfId="1" applyNumberFormat="1" applyFont="1" applyFill="1" applyBorder="1"/>
    <xf numFmtId="3" fontId="0" fillId="2" borderId="0" xfId="1" applyNumberFormat="1" applyFont="1" applyFill="1"/>
    <xf numFmtId="3" fontId="7" fillId="2" borderId="5" xfId="1" applyNumberFormat="1" applyFont="1" applyFill="1" applyBorder="1" applyAlignment="1">
      <alignment horizontal="right"/>
    </xf>
    <xf numFmtId="3" fontId="7" fillId="2" borderId="1" xfId="1" applyNumberFormat="1" applyFont="1" applyFill="1" applyBorder="1" applyAlignment="1">
      <alignment horizontal="right"/>
    </xf>
    <xf numFmtId="3" fontId="1" fillId="2" borderId="1" xfId="1" applyNumberFormat="1" applyFont="1" applyFill="1" applyBorder="1" applyAlignment="1">
      <alignment horizontal="right"/>
    </xf>
    <xf numFmtId="3" fontId="8" fillId="2" borderId="1" xfId="1" applyNumberFormat="1" applyFont="1" applyFill="1" applyBorder="1" applyAlignment="1">
      <alignment horizontal="right"/>
    </xf>
    <xf numFmtId="3" fontId="8" fillId="2" borderId="1" xfId="1" applyNumberFormat="1" applyFont="1" applyFill="1" applyBorder="1" applyAlignment="1">
      <alignment horizontal="right" wrapText="1"/>
    </xf>
    <xf numFmtId="3" fontId="1" fillId="2" borderId="1" xfId="1" applyNumberFormat="1" applyFont="1" applyFill="1" applyBorder="1"/>
    <xf numFmtId="3" fontId="8" fillId="2" borderId="1" xfId="1" applyNumberFormat="1" applyFont="1" applyFill="1" applyBorder="1"/>
    <xf numFmtId="3" fontId="15" fillId="2" borderId="1" xfId="1" applyNumberFormat="1" applyFont="1" applyFill="1" applyBorder="1"/>
    <xf numFmtId="3" fontId="9" fillId="2" borderId="1" xfId="1" applyNumberFormat="1" applyFont="1" applyFill="1" applyBorder="1" applyAlignment="1">
      <alignment wrapText="1"/>
    </xf>
    <xf numFmtId="3" fontId="7" fillId="2" borderId="4" xfId="3" applyNumberFormat="1" applyFont="1" applyFill="1" applyBorder="1"/>
    <xf numFmtId="3" fontId="1" fillId="2" borderId="0" xfId="1" applyNumberFormat="1" applyFont="1" applyFill="1"/>
    <xf numFmtId="3" fontId="9" fillId="2" borderId="0" xfId="1" applyNumberFormat="1" applyFont="1" applyFill="1"/>
    <xf numFmtId="3" fontId="7" fillId="2" borderId="0" xfId="1" applyNumberFormat="1" applyFont="1" applyFill="1"/>
    <xf numFmtId="0" fontId="8" fillId="0" borderId="3" xfId="2" applyFont="1" applyFill="1" applyBorder="1"/>
    <xf numFmtId="3" fontId="8" fillId="2" borderId="1" xfId="1" applyNumberFormat="1" applyFont="1" applyFill="1" applyBorder="1" applyAlignment="1">
      <alignment horizontal="right" vertical="center" wrapText="1"/>
    </xf>
    <xf numFmtId="0" fontId="8" fillId="0" borderId="1" xfId="2" quotePrefix="1" applyFont="1" applyBorder="1" applyAlignment="1">
      <alignment horizontal="center"/>
    </xf>
    <xf numFmtId="3" fontId="1" fillId="2" borderId="1" xfId="0" applyNumberFormat="1" applyFont="1" applyFill="1" applyBorder="1"/>
    <xf numFmtId="3" fontId="23" fillId="2" borderId="1" xfId="1" applyNumberFormat="1" applyFont="1" applyFill="1" applyBorder="1" applyAlignment="1">
      <alignment vertical="center"/>
    </xf>
    <xf numFmtId="0" fontId="1" fillId="0" borderId="2" xfId="0" applyFont="1" applyBorder="1"/>
    <xf numFmtId="3" fontId="23" fillId="2" borderId="1" xfId="1" applyNumberFormat="1" applyFont="1" applyFill="1" applyBorder="1" applyAlignment="1">
      <alignment horizontal="right" vertical="center"/>
    </xf>
    <xf numFmtId="0" fontId="24" fillId="0" borderId="1" xfId="0" applyFont="1" applyBorder="1" applyAlignment="1">
      <alignment horizontal="left" wrapText="1"/>
    </xf>
    <xf numFmtId="0" fontId="7" fillId="0" borderId="8" xfId="0" applyFont="1" applyBorder="1" applyAlignment="1">
      <alignment horizontal="left"/>
    </xf>
    <xf numFmtId="3" fontId="7" fillId="2" borderId="6" xfId="2" applyNumberFormat="1" applyFont="1" applyFill="1" applyBorder="1" applyAlignment="1">
      <alignment horizontal="center" vertical="center" wrapText="1"/>
    </xf>
    <xf numFmtId="3" fontId="7" fillId="2" borderId="7" xfId="2" applyNumberFormat="1" applyFont="1" applyFill="1" applyBorder="1" applyAlignment="1">
      <alignment horizontal="center" vertical="center" wrapText="1"/>
    </xf>
    <xf numFmtId="0" fontId="5" fillId="0" borderId="0" xfId="0" applyFont="1" applyAlignment="1"/>
    <xf numFmtId="3" fontId="7" fillId="2" borderId="0" xfId="0" applyNumberFormat="1" applyFont="1" applyFill="1" applyAlignment="1">
      <alignment horizontal="right"/>
    </xf>
    <xf numFmtId="0" fontId="7" fillId="0" borderId="0" xfId="0" applyFont="1" applyBorder="1" applyAlignment="1"/>
    <xf numFmtId="0" fontId="25" fillId="0" borderId="0" xfId="0" applyFont="1" applyBorder="1" applyAlignment="1">
      <alignment horizontal="center"/>
    </xf>
    <xf numFmtId="3" fontId="7" fillId="2" borderId="6" xfId="2" applyNumberFormat="1" applyFont="1" applyFill="1" applyBorder="1" applyAlignment="1">
      <alignment vertical="center" wrapText="1"/>
    </xf>
    <xf numFmtId="3" fontId="7" fillId="2" borderId="7" xfId="2" applyNumberFormat="1" applyFont="1" applyFill="1" applyBorder="1" applyAlignment="1">
      <alignment vertical="center" wrapText="1"/>
    </xf>
    <xf numFmtId="0" fontId="27" fillId="0" borderId="0" xfId="0" applyFont="1"/>
    <xf numFmtId="0" fontId="26" fillId="0" borderId="0" xfId="0" applyFont="1"/>
    <xf numFmtId="0" fontId="28" fillId="0" borderId="0" xfId="0" applyFont="1"/>
    <xf numFmtId="0" fontId="29" fillId="0" borderId="0" xfId="0" applyFont="1" applyAlignment="1">
      <alignment horizontal="center"/>
    </xf>
    <xf numFmtId="3" fontId="0" fillId="0" borderId="0" xfId="0" applyNumberFormat="1" applyAlignment="1">
      <alignment vertical="center" wrapText="1"/>
    </xf>
    <xf numFmtId="3" fontId="7" fillId="0" borderId="0" xfId="0" applyNumberFormat="1" applyFont="1" applyAlignment="1">
      <alignment vertical="center" wrapText="1"/>
    </xf>
    <xf numFmtId="0" fontId="12" fillId="0" borderId="0" xfId="0" applyFont="1"/>
    <xf numFmtId="0" fontId="28" fillId="0" borderId="0" xfId="0" applyFont="1" applyAlignment="1">
      <alignment horizontal="center"/>
    </xf>
    <xf numFmtId="0" fontId="28" fillId="0" borderId="0" xfId="0" applyFont="1" applyAlignment="1">
      <alignment horizontal="right"/>
    </xf>
    <xf numFmtId="0" fontId="27" fillId="0" borderId="11" xfId="0" applyFont="1" applyBorder="1" applyAlignment="1">
      <alignment horizontal="center" vertical="top" wrapText="1"/>
    </xf>
    <xf numFmtId="0" fontId="27" fillId="0" borderId="11" xfId="0" applyFont="1" applyBorder="1" applyAlignment="1">
      <alignment vertical="top" wrapText="1"/>
    </xf>
    <xf numFmtId="3" fontId="1" fillId="0" borderId="11" xfId="0" applyNumberFormat="1" applyFont="1" applyBorder="1" applyAlignment="1">
      <alignment vertical="center" wrapText="1"/>
    </xf>
    <xf numFmtId="167" fontId="12" fillId="0" borderId="11" xfId="1" applyNumberFormat="1" applyFont="1" applyBorder="1" applyAlignment="1">
      <alignment horizontal="center" vertical="top" wrapText="1"/>
    </xf>
    <xf numFmtId="167" fontId="27" fillId="0" borderId="11" xfId="1" applyNumberFormat="1" applyFont="1" applyBorder="1" applyAlignment="1">
      <alignment horizontal="center" vertical="top" wrapText="1"/>
    </xf>
    <xf numFmtId="0" fontId="27" fillId="0" borderId="12" xfId="0" applyFont="1" applyBorder="1" applyAlignment="1">
      <alignment vertical="top" wrapText="1"/>
    </xf>
    <xf numFmtId="0" fontId="27" fillId="0" borderId="12" xfId="0" applyFont="1" applyBorder="1" applyAlignment="1">
      <alignment horizontal="center" vertical="top" wrapText="1"/>
    </xf>
    <xf numFmtId="0" fontId="12" fillId="0" borderId="13" xfId="0" applyFont="1" applyBorder="1" applyAlignment="1">
      <alignment horizontal="center" vertical="top" wrapText="1"/>
    </xf>
    <xf numFmtId="0" fontId="27" fillId="0" borderId="13" xfId="0" applyFont="1" applyBorder="1" applyAlignment="1">
      <alignment horizontal="center" vertical="top" wrapText="1"/>
    </xf>
    <xf numFmtId="0" fontId="12" fillId="0" borderId="4" xfId="0" applyFont="1" applyBorder="1" applyAlignment="1">
      <alignment horizontal="center" vertical="center" wrapText="1"/>
    </xf>
    <xf numFmtId="3" fontId="7" fillId="0" borderId="4" xfId="0" applyNumberFormat="1" applyFont="1" applyBorder="1" applyAlignment="1">
      <alignment horizontal="center" vertical="center" wrapText="1"/>
    </xf>
    <xf numFmtId="3" fontId="36" fillId="0" borderId="4" xfId="0" applyNumberFormat="1" applyFont="1" applyBorder="1" applyAlignment="1">
      <alignment horizontal="center" vertical="center" wrapText="1"/>
    </xf>
    <xf numFmtId="0" fontId="35" fillId="0" borderId="4" xfId="0" applyFont="1" applyBorder="1" applyAlignment="1">
      <alignment horizontal="center"/>
    </xf>
    <xf numFmtId="0" fontId="36" fillId="0" borderId="7" xfId="0" applyFont="1" applyBorder="1" applyAlignment="1">
      <alignment horizontal="center" vertical="center" wrapText="1"/>
    </xf>
    <xf numFmtId="3" fontId="36" fillId="0" borderId="4" xfId="0" applyNumberFormat="1" applyFont="1" applyBorder="1" applyAlignment="1">
      <alignment horizontal="right" vertical="center" wrapText="1"/>
    </xf>
    <xf numFmtId="3" fontId="18" fillId="0" borderId="4" xfId="0" applyNumberFormat="1" applyFont="1" applyBorder="1"/>
    <xf numFmtId="3" fontId="7" fillId="0" borderId="15" xfId="0" applyNumberFormat="1" applyFon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0" applyNumberFormat="1" applyBorder="1" applyAlignment="1">
      <alignment vertical="center" wrapText="1"/>
    </xf>
    <xf numFmtId="3" fontId="0" fillId="0" borderId="14" xfId="0" applyNumberFormat="1" applyFont="1" applyBorder="1" applyAlignment="1">
      <alignment vertical="center" wrapText="1"/>
    </xf>
    <xf numFmtId="3" fontId="9" fillId="0" borderId="14" xfId="0" applyNumberFormat="1" applyFont="1" applyBorder="1" applyAlignment="1">
      <alignment horizontal="center" vertical="center" wrapText="1"/>
    </xf>
    <xf numFmtId="3" fontId="9" fillId="0" borderId="14" xfId="0" applyNumberFormat="1" applyFont="1" applyBorder="1" applyAlignment="1">
      <alignment vertical="center" wrapText="1"/>
    </xf>
    <xf numFmtId="3" fontId="7" fillId="0" borderId="16" xfId="0" applyNumberFormat="1" applyFont="1" applyBorder="1" applyAlignment="1">
      <alignment horizontal="center" vertical="center" wrapText="1"/>
    </xf>
    <xf numFmtId="3" fontId="7" fillId="0" borderId="16" xfId="0" applyNumberFormat="1" applyFont="1" applyFill="1" applyBorder="1" applyAlignment="1">
      <alignment vertical="center" wrapText="1"/>
    </xf>
    <xf numFmtId="3" fontId="7" fillId="0" borderId="16" xfId="0" applyNumberFormat="1" applyFont="1" applyBorder="1" applyAlignment="1">
      <alignment vertical="center" wrapText="1"/>
    </xf>
    <xf numFmtId="3" fontId="5" fillId="0" borderId="0" xfId="0" applyNumberFormat="1" applyFont="1" applyAlignment="1">
      <alignment horizontal="left" vertical="center"/>
    </xf>
    <xf numFmtId="3" fontId="0" fillId="0" borderId="0" xfId="0" applyNumberFormat="1" applyAlignment="1">
      <alignment horizontal="center" vertical="center" wrapText="1"/>
    </xf>
    <xf numFmtId="3" fontId="0" fillId="0" borderId="0" xfId="0" applyNumberFormat="1" applyAlignment="1">
      <alignment vertical="center"/>
    </xf>
    <xf numFmtId="3" fontId="0" fillId="0" borderId="0" xfId="0" applyNumberFormat="1" applyAlignment="1">
      <alignment horizontal="center" vertical="center"/>
    </xf>
    <xf numFmtId="3" fontId="9" fillId="0" borderId="0" xfId="0" applyNumberFormat="1" applyFont="1" applyAlignment="1">
      <alignment vertical="center" wrapText="1"/>
    </xf>
    <xf numFmtId="3" fontId="34" fillId="0" borderId="0" xfId="0" applyNumberFormat="1" applyFont="1" applyAlignment="1">
      <alignment horizontal="center" vertical="center" wrapText="1"/>
    </xf>
    <xf numFmtId="3" fontId="31" fillId="0" borderId="0" xfId="0" applyNumberFormat="1" applyFont="1" applyAlignment="1">
      <alignment vertical="center" wrapText="1"/>
    </xf>
    <xf numFmtId="3" fontId="34" fillId="0" borderId="0" xfId="0" applyNumberFormat="1" applyFont="1" applyAlignment="1">
      <alignment vertical="center" wrapText="1"/>
    </xf>
    <xf numFmtId="3" fontId="5" fillId="0" borderId="0" xfId="0" applyNumberFormat="1" applyFont="1" applyAlignment="1">
      <alignment vertical="center" wrapText="1"/>
    </xf>
    <xf numFmtId="3" fontId="5" fillId="0" borderId="0" xfId="0" applyNumberFormat="1" applyFont="1" applyAlignment="1">
      <alignment horizontal="center" vertical="center" wrapText="1"/>
    </xf>
    <xf numFmtId="3" fontId="37" fillId="0" borderId="0" xfId="0" applyNumberFormat="1" applyFont="1" applyAlignment="1">
      <alignment vertical="center" wrapText="1"/>
    </xf>
    <xf numFmtId="167" fontId="27" fillId="0" borderId="0" xfId="1" applyNumberFormat="1" applyFont="1"/>
    <xf numFmtId="167" fontId="29" fillId="0" borderId="0" xfId="1" applyNumberFormat="1" applyFont="1" applyAlignment="1">
      <alignment horizontal="center"/>
    </xf>
    <xf numFmtId="167" fontId="0" fillId="0" borderId="0" xfId="1" applyNumberFormat="1" applyFont="1"/>
    <xf numFmtId="3" fontId="7" fillId="0" borderId="15" xfId="1" applyNumberFormat="1" applyFont="1" applyBorder="1" applyAlignment="1">
      <alignment horizontal="right" vertical="center" wrapText="1"/>
    </xf>
    <xf numFmtId="3" fontId="0" fillId="0" borderId="14" xfId="1" applyNumberFormat="1" applyFont="1" applyBorder="1" applyAlignment="1">
      <alignment horizontal="right" vertical="center" wrapText="1"/>
    </xf>
    <xf numFmtId="3" fontId="35" fillId="0" borderId="14" xfId="1" applyNumberFormat="1" applyFont="1" applyBorder="1" applyAlignment="1">
      <alignment horizontal="right"/>
    </xf>
    <xf numFmtId="3" fontId="1" fillId="0" borderId="14" xfId="1" applyNumberFormat="1" applyFont="1" applyBorder="1" applyAlignment="1">
      <alignment horizontal="right" vertical="center" wrapText="1"/>
    </xf>
    <xf numFmtId="3" fontId="9" fillId="0" borderId="14" xfId="1" applyNumberFormat="1" applyFont="1" applyBorder="1" applyAlignment="1">
      <alignment horizontal="right" vertical="center" wrapText="1"/>
    </xf>
    <xf numFmtId="0" fontId="43" fillId="0" borderId="0" xfId="0" applyFont="1"/>
    <xf numFmtId="0" fontId="1" fillId="0" borderId="0" xfId="0" applyFont="1" applyAlignment="1">
      <alignment horizontal="center" vertical="center" wrapText="1"/>
    </xf>
    <xf numFmtId="167" fontId="45" fillId="0" borderId="0" xfId="1" applyNumberFormat="1" applyFont="1" applyAlignment="1">
      <alignment horizontal="right"/>
    </xf>
    <xf numFmtId="167" fontId="40" fillId="0" borderId="0" xfId="1" applyNumberFormat="1" applyFont="1" applyAlignment="1">
      <alignment horizontal="center"/>
    </xf>
    <xf numFmtId="167" fontId="40" fillId="0" borderId="0" xfId="1" applyNumberFormat="1" applyFont="1" applyAlignment="1">
      <alignment horizontal="right"/>
    </xf>
    <xf numFmtId="0" fontId="12" fillId="0" borderId="4" xfId="0" applyFont="1" applyBorder="1" applyAlignment="1">
      <alignment horizontal="center" vertical="center" wrapText="1"/>
    </xf>
    <xf numFmtId="0" fontId="46" fillId="0" borderId="0" xfId="0" applyFont="1" applyAlignment="1">
      <alignment vertical="center" wrapText="1"/>
    </xf>
    <xf numFmtId="0" fontId="38" fillId="0" borderId="0" xfId="0" applyFont="1"/>
    <xf numFmtId="0" fontId="47" fillId="0" borderId="0" xfId="5"/>
    <xf numFmtId="0" fontId="46" fillId="0" borderId="0" xfId="0" applyFont="1" applyAlignment="1">
      <alignment vertical="center"/>
    </xf>
    <xf numFmtId="4" fontId="12" fillId="0" borderId="4" xfId="0" applyNumberFormat="1" applyFont="1" applyBorder="1" applyAlignment="1">
      <alignment horizontal="right" vertical="center" wrapText="1"/>
    </xf>
    <xf numFmtId="0" fontId="27" fillId="0" borderId="6" xfId="0" applyFont="1" applyBorder="1" applyAlignment="1">
      <alignment vertical="center" wrapText="1"/>
    </xf>
    <xf numFmtId="0" fontId="27" fillId="0" borderId="17" xfId="0" applyFont="1" applyBorder="1" applyAlignment="1">
      <alignment vertical="center" wrapText="1"/>
    </xf>
    <xf numFmtId="0" fontId="27" fillId="0" borderId="14" xfId="0" applyFont="1" applyBorder="1" applyAlignment="1">
      <alignment vertical="center" wrapText="1"/>
    </xf>
    <xf numFmtId="3" fontId="27" fillId="0" borderId="14" xfId="0" applyNumberFormat="1" applyFont="1" applyBorder="1" applyAlignment="1">
      <alignment vertical="center" wrapText="1"/>
    </xf>
    <xf numFmtId="0" fontId="27" fillId="0" borderId="18" xfId="0" applyFont="1" applyBorder="1" applyAlignment="1">
      <alignment vertical="center" wrapText="1"/>
    </xf>
    <xf numFmtId="0" fontId="27" fillId="0" borderId="4" xfId="0" applyFont="1" applyBorder="1" applyAlignment="1">
      <alignment vertical="center" wrapText="1"/>
    </xf>
    <xf numFmtId="0" fontId="27" fillId="0" borderId="16" xfId="0" applyFont="1" applyBorder="1" applyAlignment="1">
      <alignment vertical="center" wrapText="1"/>
    </xf>
    <xf numFmtId="3" fontId="27" fillId="0" borderId="16" xfId="0" applyNumberFormat="1" applyFont="1" applyBorder="1" applyAlignment="1">
      <alignment vertical="center" wrapText="1"/>
    </xf>
    <xf numFmtId="0" fontId="12" fillId="0" borderId="4" xfId="0" applyFont="1" applyBorder="1" applyAlignment="1">
      <alignment horizontal="center" vertical="center" wrapText="1"/>
    </xf>
    <xf numFmtId="3" fontId="17" fillId="0" borderId="1" xfId="7" applyNumberFormat="1" applyFont="1" applyBorder="1" applyAlignment="1">
      <alignment wrapText="1"/>
    </xf>
    <xf numFmtId="168" fontId="1" fillId="0" borderId="11" xfId="1" applyNumberFormat="1" applyFont="1" applyBorder="1" applyAlignment="1">
      <alignment vertical="center" wrapText="1"/>
    </xf>
    <xf numFmtId="168" fontId="1" fillId="0" borderId="11" xfId="1" applyNumberFormat="1" applyFont="1" applyBorder="1" applyAlignment="1">
      <alignment horizontal="center" vertical="top" wrapText="1"/>
    </xf>
    <xf numFmtId="166" fontId="7" fillId="0" borderId="13" xfId="0" applyNumberFormat="1" applyFont="1" applyBorder="1" applyAlignment="1">
      <alignment horizontal="center" vertical="top" wrapText="1"/>
    </xf>
    <xf numFmtId="166" fontId="8" fillId="0" borderId="11" xfId="1" applyNumberFormat="1" applyFont="1" applyBorder="1" applyAlignment="1">
      <alignment vertical="center" wrapText="1"/>
    </xf>
    <xf numFmtId="0" fontId="8" fillId="0" borderId="11" xfId="0" applyFont="1" applyBorder="1" applyAlignment="1">
      <alignment vertical="top" wrapText="1"/>
    </xf>
    <xf numFmtId="0" fontId="8" fillId="0" borderId="14" xfId="0" applyFont="1" applyBorder="1" applyAlignment="1">
      <alignment vertical="top" wrapText="1"/>
    </xf>
    <xf numFmtId="167" fontId="8" fillId="0" borderId="14" xfId="1" applyNumberFormat="1" applyFont="1" applyBorder="1" applyAlignment="1">
      <alignment vertical="top" wrapText="1"/>
    </xf>
    <xf numFmtId="0" fontId="33" fillId="2" borderId="14" xfId="8" applyFont="1" applyFill="1" applyBorder="1" applyAlignment="1">
      <alignment horizontal="left" vertical="center" wrapText="1"/>
    </xf>
    <xf numFmtId="0" fontId="1" fillId="0" borderId="14" xfId="0" applyFont="1" applyBorder="1" applyAlignment="1">
      <alignment horizontal="center" vertical="top" wrapText="1"/>
    </xf>
    <xf numFmtId="167" fontId="1" fillId="0" borderId="14" xfId="1" applyNumberFormat="1" applyFont="1" applyBorder="1" applyAlignment="1">
      <alignment vertical="top" wrapText="1"/>
    </xf>
    <xf numFmtId="167" fontId="1" fillId="0" borderId="14" xfId="1" applyNumberFormat="1" applyFont="1" applyBorder="1" applyAlignment="1">
      <alignment horizontal="center" vertical="center" wrapText="1"/>
    </xf>
    <xf numFmtId="0" fontId="1" fillId="2" borderId="14" xfId="8" applyFont="1" applyFill="1" applyBorder="1" applyAlignment="1">
      <alignment horizontal="left" vertical="center" wrapText="1"/>
    </xf>
    <xf numFmtId="167" fontId="33" fillId="0" borderId="14" xfId="1" applyNumberFormat="1" applyFont="1" applyBorder="1" applyAlignment="1">
      <alignment vertical="center" wrapText="1"/>
    </xf>
    <xf numFmtId="167" fontId="1" fillId="2" borderId="14" xfId="1" applyNumberFormat="1" applyFont="1" applyFill="1" applyBorder="1"/>
    <xf numFmtId="2" fontId="1" fillId="2" borderId="14" xfId="8" applyNumberFormat="1" applyFont="1" applyFill="1" applyBorder="1" applyAlignment="1">
      <alignment horizontal="left" vertical="center" wrapText="1"/>
    </xf>
    <xf numFmtId="0" fontId="8" fillId="0" borderId="14" xfId="0" applyFont="1" applyBorder="1" applyAlignment="1">
      <alignment horizontal="left" vertical="top" wrapText="1"/>
    </xf>
    <xf numFmtId="0" fontId="8" fillId="0" borderId="14" xfId="0" applyFont="1" applyBorder="1" applyAlignment="1">
      <alignment horizontal="center" vertical="top" wrapText="1"/>
    </xf>
    <xf numFmtId="0" fontId="1" fillId="0" borderId="14" xfId="0" applyFont="1" applyBorder="1" applyAlignment="1">
      <alignment horizontal="left" vertical="top" wrapText="1"/>
    </xf>
    <xf numFmtId="1" fontId="33" fillId="2" borderId="14" xfId="8" applyNumberFormat="1" applyFont="1" applyFill="1" applyBorder="1" applyAlignment="1">
      <alignment vertical="center"/>
    </xf>
    <xf numFmtId="3" fontId="33" fillId="2" borderId="14" xfId="8" applyNumberFormat="1" applyFont="1" applyFill="1" applyBorder="1" applyAlignment="1">
      <alignment vertical="center"/>
    </xf>
    <xf numFmtId="0" fontId="1" fillId="0" borderId="16" xfId="0" applyFont="1" applyBorder="1" applyAlignment="1">
      <alignment vertical="top" wrapText="1"/>
    </xf>
    <xf numFmtId="167" fontId="1" fillId="0" borderId="16" xfId="1" applyNumberFormat="1" applyFont="1" applyBorder="1" applyAlignment="1">
      <alignment vertical="top" wrapText="1"/>
    </xf>
    <xf numFmtId="0" fontId="42" fillId="0" borderId="15" xfId="0" applyFont="1" applyBorder="1" applyAlignment="1">
      <alignment horizontal="center" vertical="top" wrapText="1"/>
    </xf>
    <xf numFmtId="0" fontId="42" fillId="0" borderId="15" xfId="0" applyFont="1" applyBorder="1" applyAlignment="1">
      <alignment vertical="top" wrapText="1"/>
    </xf>
    <xf numFmtId="167" fontId="42" fillId="0" borderId="15" xfId="1" applyNumberFormat="1" applyFont="1" applyBorder="1" applyAlignment="1">
      <alignment vertical="top" wrapText="1"/>
    </xf>
    <xf numFmtId="0" fontId="17" fillId="0" borderId="0" xfId="0" applyFont="1"/>
    <xf numFmtId="3" fontId="12" fillId="0" borderId="4" xfId="0" applyNumberFormat="1" applyFont="1" applyBorder="1" applyAlignment="1">
      <alignment horizontal="right" vertical="center" wrapText="1"/>
    </xf>
    <xf numFmtId="3" fontId="12" fillId="0" borderId="4" xfId="0" applyNumberFormat="1" applyFont="1" applyBorder="1" applyAlignment="1">
      <alignment vertical="center" wrapText="1"/>
    </xf>
    <xf numFmtId="3" fontId="27" fillId="0" borderId="6" xfId="0" applyNumberFormat="1" applyFont="1" applyBorder="1" applyAlignment="1">
      <alignment horizontal="right" vertical="center" wrapText="1"/>
    </xf>
    <xf numFmtId="3" fontId="27" fillId="0" borderId="15" xfId="0" applyNumberFormat="1" applyFont="1" applyBorder="1" applyAlignment="1">
      <alignment vertical="center" wrapText="1"/>
    </xf>
    <xf numFmtId="3" fontId="27" fillId="0" borderId="14" xfId="0" applyNumberFormat="1" applyFont="1" applyBorder="1" applyAlignment="1">
      <alignment horizontal="right" vertical="center" wrapText="1"/>
    </xf>
    <xf numFmtId="3" fontId="27" fillId="0" borderId="16" xfId="0" applyNumberFormat="1" applyFont="1" applyBorder="1" applyAlignment="1">
      <alignment horizontal="right" vertical="center" wrapText="1"/>
    </xf>
    <xf numFmtId="0" fontId="36" fillId="0" borderId="15" xfId="0" applyFont="1" applyBorder="1" applyAlignment="1">
      <alignment horizontal="center" vertical="center" wrapText="1"/>
    </xf>
    <xf numFmtId="0" fontId="36" fillId="0" borderId="15" xfId="0" applyFont="1" applyBorder="1" applyAlignment="1">
      <alignment horizontal="left" vertical="center" wrapText="1"/>
    </xf>
    <xf numFmtId="3" fontId="36" fillId="0" borderId="15" xfId="0" applyNumberFormat="1" applyFont="1" applyBorder="1" applyAlignment="1">
      <alignment horizontal="right" vertical="center" wrapText="1"/>
    </xf>
    <xf numFmtId="3" fontId="18" fillId="0" borderId="15" xfId="0" applyNumberFormat="1" applyFont="1" applyBorder="1"/>
    <xf numFmtId="0" fontId="36" fillId="0" borderId="14" xfId="0" applyFont="1" applyBorder="1" applyAlignment="1">
      <alignment horizontal="center" vertical="center" wrapText="1"/>
    </xf>
    <xf numFmtId="0" fontId="35" fillId="0" borderId="14" xfId="0" quotePrefix="1" applyFont="1" applyBorder="1" applyAlignment="1">
      <alignment horizontal="left" vertical="center" wrapText="1"/>
    </xf>
    <xf numFmtId="3" fontId="35" fillId="0" borderId="14" xfId="0" applyNumberFormat="1" applyFont="1" applyBorder="1" applyAlignment="1">
      <alignment horizontal="right" vertical="center" wrapText="1"/>
    </xf>
    <xf numFmtId="3" fontId="3" fillId="0" borderId="14" xfId="0" applyNumberFormat="1" applyFont="1" applyBorder="1"/>
    <xf numFmtId="0" fontId="35" fillId="0" borderId="14" xfId="0" applyFont="1" applyBorder="1" applyAlignment="1">
      <alignment horizontal="center"/>
    </xf>
    <xf numFmtId="0" fontId="19" fillId="2" borderId="14" xfId="0" applyFont="1" applyFill="1" applyBorder="1"/>
    <xf numFmtId="0" fontId="3" fillId="2" borderId="14" xfId="0" applyFont="1" applyFill="1" applyBorder="1"/>
    <xf numFmtId="0" fontId="3" fillId="2" borderId="14" xfId="0" applyFont="1" applyFill="1" applyBorder="1" applyAlignment="1">
      <alignment horizontal="center" vertical="center" wrapText="1"/>
    </xf>
    <xf numFmtId="0" fontId="36" fillId="0" borderId="14" xfId="0" applyFont="1" applyBorder="1" applyAlignment="1">
      <alignment horizontal="left" vertical="center" wrapText="1"/>
    </xf>
    <xf numFmtId="3" fontId="36" fillId="0" borderId="14" xfId="0" applyNumberFormat="1" applyFont="1" applyBorder="1" applyAlignment="1">
      <alignment horizontal="right" vertical="center" wrapText="1"/>
    </xf>
    <xf numFmtId="3" fontId="35" fillId="0" borderId="14" xfId="1" applyNumberFormat="1" applyFont="1" applyBorder="1" applyAlignment="1">
      <alignment horizontal="right" vertical="center" wrapText="1"/>
    </xf>
    <xf numFmtId="0" fontId="18" fillId="0" borderId="14" xfId="0" applyFont="1" applyBorder="1"/>
    <xf numFmtId="3" fontId="34" fillId="2" borderId="14" xfId="1" applyNumberFormat="1" applyFont="1" applyFill="1" applyBorder="1" applyAlignment="1">
      <alignment horizontal="right"/>
    </xf>
    <xf numFmtId="3" fontId="35" fillId="0" borderId="14" xfId="0" applyNumberFormat="1" applyFont="1" applyBorder="1" applyAlignment="1">
      <alignment horizontal="center" vertical="center" wrapText="1"/>
    </xf>
    <xf numFmtId="0" fontId="1" fillId="2" borderId="14" xfId="8" applyNumberFormat="1" applyFont="1" applyFill="1" applyBorder="1" applyAlignment="1">
      <alignment horizontal="left" vertical="center"/>
    </xf>
    <xf numFmtId="0" fontId="3" fillId="0" borderId="14" xfId="0" applyFont="1" applyBorder="1"/>
    <xf numFmtId="3" fontId="34" fillId="2" borderId="14" xfId="1" applyNumberFormat="1" applyFont="1" applyFill="1" applyBorder="1"/>
    <xf numFmtId="0" fontId="32" fillId="0" borderId="16" xfId="0" applyFont="1" applyBorder="1" applyAlignment="1">
      <alignment horizontal="center" vertical="center" wrapText="1"/>
    </xf>
    <xf numFmtId="0" fontId="32" fillId="0" borderId="16" xfId="0" applyFont="1" applyBorder="1" applyAlignment="1">
      <alignment horizontal="left" vertical="center" wrapText="1"/>
    </xf>
    <xf numFmtId="3" fontId="7" fillId="2" borderId="16" xfId="1" applyNumberFormat="1" applyFont="1" applyFill="1" applyBorder="1"/>
    <xf numFmtId="0" fontId="3" fillId="0" borderId="16" xfId="0" applyFont="1" applyBorder="1"/>
    <xf numFmtId="167" fontId="1" fillId="0" borderId="4" xfId="1" applyNumberFormat="1" applyFont="1" applyBorder="1" applyAlignment="1">
      <alignment horizontal="center" vertical="center" wrapText="1"/>
    </xf>
    <xf numFmtId="167" fontId="1" fillId="3" borderId="14" xfId="1" applyNumberFormat="1" applyFont="1" applyFill="1" applyBorder="1" applyAlignment="1">
      <alignment vertical="top" wrapText="1"/>
    </xf>
    <xf numFmtId="167" fontId="1" fillId="3" borderId="0" xfId="0" applyNumberFormat="1" applyFont="1" applyFill="1"/>
    <xf numFmtId="0" fontId="1" fillId="3" borderId="0" xfId="0" applyFont="1" applyFill="1"/>
    <xf numFmtId="0" fontId="1" fillId="2" borderId="14" xfId="0" applyFont="1" applyFill="1" applyBorder="1" applyAlignment="1">
      <alignment horizontal="center" vertical="top" wrapText="1"/>
    </xf>
    <xf numFmtId="167" fontId="1" fillId="2" borderId="14" xfId="1" applyNumberFormat="1" applyFont="1" applyFill="1" applyBorder="1" applyAlignment="1">
      <alignment vertical="top" wrapText="1"/>
    </xf>
    <xf numFmtId="167" fontId="1" fillId="2" borderId="14" xfId="1" applyNumberFormat="1" applyFont="1" applyFill="1" applyBorder="1" applyAlignment="1">
      <alignment horizontal="center" vertical="center" wrapText="1"/>
    </xf>
    <xf numFmtId="167" fontId="33" fillId="2" borderId="14" xfId="1" applyNumberFormat="1" applyFont="1" applyFill="1" applyBorder="1" applyAlignment="1">
      <alignment vertical="center" wrapText="1"/>
    </xf>
    <xf numFmtId="167" fontId="1" fillId="2" borderId="14" xfId="1" applyNumberFormat="1" applyFont="1" applyFill="1" applyBorder="1" applyAlignment="1">
      <alignment horizontal="left" wrapText="1"/>
    </xf>
    <xf numFmtId="0" fontId="30" fillId="0" borderId="0" xfId="0" applyFont="1" applyAlignment="1">
      <alignment horizontal="center" vertical="top" wrapText="1"/>
    </xf>
    <xf numFmtId="0" fontId="12" fillId="0" borderId="4" xfId="0" applyFont="1" applyBorder="1" applyAlignment="1">
      <alignment horizontal="center" vertical="center" wrapText="1"/>
    </xf>
    <xf numFmtId="0" fontId="27" fillId="0" borderId="4" xfId="0" applyFont="1" applyBorder="1" applyAlignment="1">
      <alignment horizontal="center" vertical="center" wrapText="1"/>
    </xf>
    <xf numFmtId="0" fontId="46" fillId="0" borderId="0" xfId="0" applyFont="1" applyAlignment="1">
      <alignment horizontal="right" vertical="center" wrapText="1"/>
    </xf>
    <xf numFmtId="0" fontId="46" fillId="0" borderId="0" xfId="0" applyFont="1" applyAlignment="1">
      <alignment horizontal="center" vertical="center"/>
    </xf>
    <xf numFmtId="0" fontId="48" fillId="0" borderId="0" xfId="0" applyFont="1" applyAlignment="1">
      <alignment horizontal="center" vertical="center"/>
    </xf>
    <xf numFmtId="0" fontId="48" fillId="0" borderId="8" xfId="0" applyFont="1" applyBorder="1" applyAlignment="1">
      <alignment horizontal="right" vertical="center"/>
    </xf>
    <xf numFmtId="0" fontId="48" fillId="0" borderId="19" xfId="0" applyFont="1" applyBorder="1" applyAlignment="1">
      <alignment horizontal="left" vertical="center" wrapText="1"/>
    </xf>
    <xf numFmtId="0" fontId="11" fillId="0" borderId="0" xfId="0" applyFont="1" applyBorder="1" applyAlignment="1">
      <alignment horizontal="center"/>
    </xf>
    <xf numFmtId="0" fontId="11" fillId="0" borderId="0" xfId="0" applyFont="1" applyAlignment="1">
      <alignment horizontal="center"/>
    </xf>
    <xf numFmtId="0" fontId="7" fillId="0" borderId="0" xfId="2" applyFont="1" applyFill="1" applyBorder="1" applyAlignment="1">
      <alignment horizontal="center"/>
    </xf>
    <xf numFmtId="166" fontId="5" fillId="0" borderId="0" xfId="1" applyNumberFormat="1" applyFont="1" applyBorder="1" applyAlignment="1">
      <alignment horizontal="center"/>
    </xf>
    <xf numFmtId="167" fontId="5" fillId="2" borderId="0" xfId="1" applyNumberFormat="1" applyFont="1" applyFill="1" applyAlignment="1">
      <alignment horizontal="center"/>
    </xf>
    <xf numFmtId="3" fontId="36" fillId="0" borderId="9" xfId="0" applyNumberFormat="1" applyFont="1" applyBorder="1" applyAlignment="1">
      <alignment horizontal="center" vertical="center" wrapText="1"/>
    </xf>
    <xf numFmtId="3" fontId="36" fillId="0" borderId="10" xfId="0" applyNumberFormat="1"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3" fontId="9" fillId="0" borderId="8" xfId="0" applyNumberFormat="1" applyFont="1" applyBorder="1" applyAlignment="1">
      <alignment horizontal="center" vertical="center"/>
    </xf>
    <xf numFmtId="0" fontId="7" fillId="0" borderId="4" xfId="2" applyFont="1" applyBorder="1" applyAlignment="1">
      <alignment horizontal="center" vertical="center" wrapText="1"/>
    </xf>
    <xf numFmtId="0" fontId="7" fillId="0" borderId="6" xfId="0" applyFont="1" applyBorder="1" applyAlignment="1">
      <alignment horizontal="center"/>
    </xf>
    <xf numFmtId="0" fontId="7" fillId="0" borderId="7" xfId="0" applyFont="1" applyBorder="1" applyAlignment="1">
      <alignment horizontal="center"/>
    </xf>
    <xf numFmtId="0" fontId="9" fillId="0" borderId="0" xfId="0" applyFont="1" applyBorder="1" applyAlignment="1">
      <alignment horizontal="center"/>
    </xf>
    <xf numFmtId="3" fontId="5" fillId="0" borderId="0" xfId="0" applyNumberFormat="1" applyFont="1" applyAlignment="1">
      <alignment horizontal="center" vertical="center" wrapText="1"/>
    </xf>
    <xf numFmtId="3" fontId="8" fillId="0" borderId="0" xfId="0" applyNumberFormat="1" applyFont="1" applyAlignment="1">
      <alignment horizontal="center" vertical="center" wrapText="1"/>
    </xf>
    <xf numFmtId="3" fontId="12" fillId="0" borderId="0" xfId="0" applyNumberFormat="1" applyFont="1" applyAlignment="1">
      <alignment horizontal="center" vertical="center"/>
    </xf>
    <xf numFmtId="3" fontId="8" fillId="0" borderId="0" xfId="0" applyNumberFormat="1" applyFont="1" applyFill="1" applyAlignment="1">
      <alignment horizontal="center" vertical="center"/>
    </xf>
    <xf numFmtId="3" fontId="31" fillId="0" borderId="0" xfId="0" applyNumberFormat="1" applyFont="1" applyAlignment="1">
      <alignment horizontal="right" vertical="center" wrapText="1"/>
    </xf>
    <xf numFmtId="3" fontId="7" fillId="0" borderId="4"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167" fontId="1" fillId="0" borderId="4" xfId="1" applyNumberFormat="1" applyFont="1" applyBorder="1" applyAlignment="1">
      <alignment horizontal="center" vertical="center" wrapText="1"/>
    </xf>
    <xf numFmtId="0" fontId="30" fillId="0" borderId="0" xfId="0" applyFont="1" applyAlignment="1">
      <alignment horizontal="left" vertical="top" wrapText="1"/>
    </xf>
    <xf numFmtId="167" fontId="44" fillId="0" borderId="0" xfId="1" applyNumberFormat="1" applyFont="1" applyAlignment="1">
      <alignment horizontal="center" vertical="top" wrapText="1"/>
    </xf>
    <xf numFmtId="0" fontId="7" fillId="0" borderId="4" xfId="0" applyFont="1" applyBorder="1" applyAlignment="1">
      <alignment horizontal="center" vertical="center" wrapText="1"/>
    </xf>
    <xf numFmtId="0" fontId="1" fillId="0" borderId="4" xfId="0" applyFont="1" applyBorder="1" applyAlignment="1">
      <alignment horizontal="center" vertical="center" wrapText="1"/>
    </xf>
  </cellXfs>
  <cellStyles count="9">
    <cellStyle name="Comma" xfId="1" builtinId="3"/>
    <cellStyle name="Comma 3 2" xfId="4"/>
    <cellStyle name="Comma 5" xfId="6"/>
    <cellStyle name="Hyperlink" xfId="5" builtinId="8"/>
    <cellStyle name="Normal" xfId="0" builtinId="0"/>
    <cellStyle name="Normal 10" xfId="7"/>
    <cellStyle name="Normal 2 6" xfId="8"/>
    <cellStyle name="Normal_DT CHI 2015" xfId="3"/>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235770</xdr:colOff>
      <xdr:row>1</xdr:row>
      <xdr:rowOff>19050</xdr:rowOff>
    </xdr:from>
    <xdr:to>
      <xdr:col>1</xdr:col>
      <xdr:colOff>857250</xdr:colOff>
      <xdr:row>1</xdr:row>
      <xdr:rowOff>28575</xdr:rowOff>
    </xdr:to>
    <xdr:cxnSp macro="">
      <xdr:nvCxnSpPr>
        <xdr:cNvPr id="2" name="Straight Connector 1"/>
        <xdr:cNvCxnSpPr/>
      </xdr:nvCxnSpPr>
      <xdr:spPr>
        <a:xfrm>
          <a:off x="235770" y="219075"/>
          <a:ext cx="104058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235770</xdr:colOff>
      <xdr:row>84</xdr:row>
      <xdr:rowOff>19050</xdr:rowOff>
    </xdr:from>
    <xdr:to>
      <xdr:col>1</xdr:col>
      <xdr:colOff>857250</xdr:colOff>
      <xdr:row>84</xdr:row>
      <xdr:rowOff>28575</xdr:rowOff>
    </xdr:to>
    <xdr:cxnSp macro="">
      <xdr:nvCxnSpPr>
        <xdr:cNvPr id="5" name="Straight Connector 4"/>
        <xdr:cNvCxnSpPr/>
      </xdr:nvCxnSpPr>
      <xdr:spPr>
        <a:xfrm>
          <a:off x="235770" y="219075"/>
          <a:ext cx="104058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235770</xdr:colOff>
      <xdr:row>38</xdr:row>
      <xdr:rowOff>19050</xdr:rowOff>
    </xdr:from>
    <xdr:to>
      <xdr:col>1</xdr:col>
      <xdr:colOff>857250</xdr:colOff>
      <xdr:row>38</xdr:row>
      <xdr:rowOff>28575</xdr:rowOff>
    </xdr:to>
    <xdr:cxnSp macro="">
      <xdr:nvCxnSpPr>
        <xdr:cNvPr id="3" name="Straight Connector 2"/>
        <xdr:cNvCxnSpPr/>
      </xdr:nvCxnSpPr>
      <xdr:spPr>
        <a:xfrm>
          <a:off x="235770" y="9820275"/>
          <a:ext cx="104058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AppData/Roaming/Microsoft/Excel/B&#193;O%20C&#193;O%20D&#7920;%20TO&#193;N%20N&#258;M%202020%20G&#7916;I%20PH&#210;NG%20THEO%20cv%20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Thu"/>
      <sheetName val="Chi"/>
      <sheetName val="PL thu"/>
      <sheetName val="PL chi"/>
      <sheetName val="Sheet3"/>
      <sheetName val="Sheet1"/>
      <sheetName val="Sheet2"/>
    </sheetNames>
    <sheetDataSet>
      <sheetData sheetId="0" refreshError="1"/>
      <sheetData sheetId="1" refreshError="1"/>
      <sheetData sheetId="2" refreshError="1">
        <row r="9">
          <cell r="C9">
            <v>9465389</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4" workbookViewId="0">
      <selection activeCell="C21" sqref="C21"/>
    </sheetView>
  </sheetViews>
  <sheetFormatPr defaultColWidth="9" defaultRowHeight="18.75"/>
  <cols>
    <col min="1" max="1" width="35.5" style="118" customWidth="1"/>
    <col min="2" max="2" width="15.625" style="118" customWidth="1"/>
    <col min="3" max="3" width="14.5" style="118" customWidth="1"/>
    <col min="4" max="4" width="12.375" style="118" customWidth="1"/>
    <col min="5" max="5" width="14" style="118" customWidth="1"/>
    <col min="6" max="6" width="12.625" style="118" customWidth="1"/>
    <col min="7" max="7" width="11.5" style="118" customWidth="1"/>
    <col min="8" max="16384" width="9" style="118"/>
  </cols>
  <sheetData>
    <row r="1" spans="1:7">
      <c r="A1" s="120"/>
    </row>
    <row r="2" spans="1:7" ht="24" customHeight="1">
      <c r="A2" s="124" t="s">
        <v>306</v>
      </c>
      <c r="E2" s="258" t="s">
        <v>294</v>
      </c>
      <c r="F2" s="258"/>
      <c r="G2" s="258"/>
    </row>
    <row r="3" spans="1:7">
      <c r="A3" s="119"/>
    </row>
    <row r="4" spans="1:7" ht="20.25">
      <c r="C4" s="121" t="s">
        <v>334</v>
      </c>
    </row>
    <row r="5" spans="1:7">
      <c r="C5" s="174" t="s">
        <v>286</v>
      </c>
    </row>
    <row r="6" spans="1:7">
      <c r="F6" s="126" t="s">
        <v>202</v>
      </c>
    </row>
    <row r="7" spans="1:7">
      <c r="A7" s="259" t="s">
        <v>117</v>
      </c>
      <c r="B7" s="259" t="s">
        <v>336</v>
      </c>
      <c r="C7" s="259"/>
      <c r="D7" s="259"/>
      <c r="E7" s="259" t="s">
        <v>335</v>
      </c>
      <c r="F7" s="259"/>
      <c r="G7" s="259"/>
    </row>
    <row r="8" spans="1:7">
      <c r="A8" s="259"/>
      <c r="B8" s="260" t="s">
        <v>216</v>
      </c>
      <c r="C8" s="260"/>
      <c r="D8" s="260"/>
      <c r="E8" s="259"/>
      <c r="F8" s="259"/>
      <c r="G8" s="259"/>
    </row>
    <row r="9" spans="1:7" ht="56.25">
      <c r="A9" s="259"/>
      <c r="B9" s="176" t="s">
        <v>207</v>
      </c>
      <c r="C9" s="176" t="s">
        <v>208</v>
      </c>
      <c r="D9" s="176" t="s">
        <v>209</v>
      </c>
      <c r="E9" s="176" t="s">
        <v>207</v>
      </c>
      <c r="F9" s="176" t="s">
        <v>208</v>
      </c>
      <c r="G9" s="176" t="s">
        <v>209</v>
      </c>
    </row>
    <row r="10" spans="1:7">
      <c r="A10" s="134" t="s">
        <v>200</v>
      </c>
      <c r="B10" s="194">
        <f>+B11</f>
        <v>16006</v>
      </c>
      <c r="C10" s="194">
        <f t="shared" ref="C10:F10" si="0">+C11</f>
        <v>32826.699999999997</v>
      </c>
      <c r="D10" s="194">
        <f t="shared" si="0"/>
        <v>-16820.699999999997</v>
      </c>
      <c r="E10" s="194">
        <f t="shared" si="0"/>
        <v>20000</v>
      </c>
      <c r="F10" s="194">
        <f t="shared" si="0"/>
        <v>20000</v>
      </c>
      <c r="G10" s="135"/>
    </row>
    <row r="11" spans="1:7" ht="31.5">
      <c r="A11" s="196" t="s">
        <v>210</v>
      </c>
      <c r="B11" s="195">
        <f>SUM(B12:B15)</f>
        <v>16006</v>
      </c>
      <c r="C11" s="195">
        <f>SUM(C12:C15)</f>
        <v>32826.699999999997</v>
      </c>
      <c r="D11" s="195">
        <f>SUM(D12:D15)</f>
        <v>-16820.699999999997</v>
      </c>
      <c r="E11" s="195">
        <v>20000</v>
      </c>
      <c r="F11" s="195">
        <f>E11</f>
        <v>20000</v>
      </c>
      <c r="G11" s="127"/>
    </row>
    <row r="12" spans="1:7">
      <c r="A12" s="129" t="s">
        <v>220</v>
      </c>
      <c r="B12" s="191">
        <v>16006</v>
      </c>
      <c r="C12" s="191">
        <v>32826.699999999997</v>
      </c>
      <c r="D12" s="130">
        <f>+B12-C12</f>
        <v>-16820.699999999997</v>
      </c>
      <c r="E12" s="131">
        <v>20000</v>
      </c>
      <c r="F12" s="131">
        <v>20000</v>
      </c>
      <c r="G12" s="130">
        <f>+E12-F12</f>
        <v>0</v>
      </c>
    </row>
    <row r="13" spans="1:7">
      <c r="A13" s="129" t="s">
        <v>223</v>
      </c>
      <c r="B13" s="192">
        <v>0</v>
      </c>
      <c r="C13" s="192">
        <v>0</v>
      </c>
      <c r="D13" s="193">
        <f>+B13-C13</f>
        <v>0</v>
      </c>
      <c r="E13" s="192">
        <v>0</v>
      </c>
      <c r="F13" s="192">
        <v>0</v>
      </c>
      <c r="G13" s="193">
        <f>+E13-F13</f>
        <v>0</v>
      </c>
    </row>
    <row r="14" spans="1:7">
      <c r="A14" s="129" t="s">
        <v>224</v>
      </c>
      <c r="B14" s="192">
        <v>0</v>
      </c>
      <c r="C14" s="192"/>
      <c r="D14" s="193">
        <f>+B14-C14</f>
        <v>0</v>
      </c>
      <c r="E14" s="192">
        <v>0</v>
      </c>
      <c r="F14" s="192">
        <v>0</v>
      </c>
      <c r="G14" s="193">
        <f>+E14-F14</f>
        <v>0</v>
      </c>
    </row>
    <row r="15" spans="1:7">
      <c r="A15" s="129" t="s">
        <v>221</v>
      </c>
      <c r="B15" s="192">
        <v>0</v>
      </c>
      <c r="C15" s="192">
        <v>0</v>
      </c>
      <c r="D15" s="193">
        <f>+B15-C15</f>
        <v>0</v>
      </c>
      <c r="E15" s="192">
        <v>0</v>
      </c>
      <c r="F15" s="192">
        <v>0</v>
      </c>
      <c r="G15" s="193">
        <f>+E15-F15</f>
        <v>0</v>
      </c>
    </row>
    <row r="16" spans="1:7">
      <c r="A16" s="128" t="s">
        <v>211</v>
      </c>
      <c r="B16" s="127"/>
      <c r="C16" s="127"/>
      <c r="D16" s="127"/>
      <c r="E16" s="127"/>
      <c r="F16" s="127"/>
      <c r="G16" s="127"/>
    </row>
    <row r="17" spans="1:7">
      <c r="A17" s="128" t="s">
        <v>212</v>
      </c>
      <c r="B17" s="127"/>
      <c r="C17" s="127"/>
      <c r="D17" s="127"/>
      <c r="E17" s="127"/>
      <c r="F17" s="127"/>
      <c r="G17" s="127"/>
    </row>
    <row r="18" spans="1:7">
      <c r="A18" s="128" t="s">
        <v>213</v>
      </c>
      <c r="B18" s="127"/>
      <c r="C18" s="127"/>
      <c r="D18" s="127"/>
      <c r="E18" s="127"/>
      <c r="F18" s="127"/>
      <c r="G18" s="127"/>
    </row>
    <row r="19" spans="1:7">
      <c r="A19" s="128" t="s">
        <v>214</v>
      </c>
      <c r="B19" s="127"/>
      <c r="C19" s="127"/>
      <c r="D19" s="127"/>
      <c r="E19" s="127"/>
      <c r="F19" s="127"/>
      <c r="G19" s="127"/>
    </row>
    <row r="20" spans="1:7">
      <c r="A20" s="128" t="s">
        <v>215</v>
      </c>
      <c r="B20" s="127"/>
      <c r="C20" s="127"/>
      <c r="D20" s="127"/>
      <c r="E20" s="127"/>
      <c r="F20" s="127"/>
      <c r="G20" s="127"/>
    </row>
    <row r="21" spans="1:7">
      <c r="A21" s="128" t="s">
        <v>204</v>
      </c>
      <c r="B21" s="127"/>
      <c r="C21" s="127"/>
      <c r="D21" s="127"/>
      <c r="E21" s="127"/>
      <c r="F21" s="127"/>
      <c r="G21" s="127"/>
    </row>
    <row r="22" spans="1:7">
      <c r="A22" s="132"/>
      <c r="B22" s="133"/>
      <c r="C22" s="133"/>
      <c r="D22" s="133"/>
      <c r="E22" s="133"/>
      <c r="F22" s="133"/>
      <c r="G22" s="133"/>
    </row>
  </sheetData>
  <mergeCells count="5">
    <mergeCell ref="E2:G2"/>
    <mergeCell ref="A7:A9"/>
    <mergeCell ref="B7:D7"/>
    <mergeCell ref="E7:G8"/>
    <mergeCell ref="B8:D8"/>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D8" sqref="D8:D10"/>
    </sheetView>
  </sheetViews>
  <sheetFormatPr defaultColWidth="8.125" defaultRowHeight="18.75"/>
  <cols>
    <col min="1" max="1" width="45.625" style="178" customWidth="1"/>
    <col min="2" max="2" width="18.625" style="178" customWidth="1"/>
    <col min="3" max="3" width="45.625" style="178" customWidth="1"/>
    <col min="4" max="4" width="18.625" style="178" customWidth="1"/>
    <col min="5" max="256" width="8.125" style="178"/>
    <col min="257" max="257" width="45.625" style="178" customWidth="1"/>
    <col min="258" max="258" width="18.625" style="178" customWidth="1"/>
    <col min="259" max="259" width="45.625" style="178" customWidth="1"/>
    <col min="260" max="260" width="18.625" style="178" customWidth="1"/>
    <col min="261" max="512" width="8.125" style="178"/>
    <col min="513" max="513" width="45.625" style="178" customWidth="1"/>
    <col min="514" max="514" width="18.625" style="178" customWidth="1"/>
    <col min="515" max="515" width="45.625" style="178" customWidth="1"/>
    <col min="516" max="516" width="18.625" style="178" customWidth="1"/>
    <col min="517" max="768" width="8.125" style="178"/>
    <col min="769" max="769" width="45.625" style="178" customWidth="1"/>
    <col min="770" max="770" width="18.625" style="178" customWidth="1"/>
    <col min="771" max="771" width="45.625" style="178" customWidth="1"/>
    <col min="772" max="772" width="18.625" style="178" customWidth="1"/>
    <col min="773" max="1024" width="8.125" style="178"/>
    <col min="1025" max="1025" width="45.625" style="178" customWidth="1"/>
    <col min="1026" max="1026" width="18.625" style="178" customWidth="1"/>
    <col min="1027" max="1027" width="45.625" style="178" customWidth="1"/>
    <col min="1028" max="1028" width="18.625" style="178" customWidth="1"/>
    <col min="1029" max="1280" width="8.125" style="178"/>
    <col min="1281" max="1281" width="45.625" style="178" customWidth="1"/>
    <col min="1282" max="1282" width="18.625" style="178" customWidth="1"/>
    <col min="1283" max="1283" width="45.625" style="178" customWidth="1"/>
    <col min="1284" max="1284" width="18.625" style="178" customWidth="1"/>
    <col min="1285" max="1536" width="8.125" style="178"/>
    <col min="1537" max="1537" width="45.625" style="178" customWidth="1"/>
    <col min="1538" max="1538" width="18.625" style="178" customWidth="1"/>
    <col min="1539" max="1539" width="45.625" style="178" customWidth="1"/>
    <col min="1540" max="1540" width="18.625" style="178" customWidth="1"/>
    <col min="1541" max="1792" width="8.125" style="178"/>
    <col min="1793" max="1793" width="45.625" style="178" customWidth="1"/>
    <col min="1794" max="1794" width="18.625" style="178" customWidth="1"/>
    <col min="1795" max="1795" width="45.625" style="178" customWidth="1"/>
    <col min="1796" max="1796" width="18.625" style="178" customWidth="1"/>
    <col min="1797" max="2048" width="8.125" style="178"/>
    <col min="2049" max="2049" width="45.625" style="178" customWidth="1"/>
    <col min="2050" max="2050" width="18.625" style="178" customWidth="1"/>
    <col min="2051" max="2051" width="45.625" style="178" customWidth="1"/>
    <col min="2052" max="2052" width="18.625" style="178" customWidth="1"/>
    <col min="2053" max="2304" width="8.125" style="178"/>
    <col min="2305" max="2305" width="45.625" style="178" customWidth="1"/>
    <col min="2306" max="2306" width="18.625" style="178" customWidth="1"/>
    <col min="2307" max="2307" width="45.625" style="178" customWidth="1"/>
    <col min="2308" max="2308" width="18.625" style="178" customWidth="1"/>
    <col min="2309" max="2560" width="8.125" style="178"/>
    <col min="2561" max="2561" width="45.625" style="178" customWidth="1"/>
    <col min="2562" max="2562" width="18.625" style="178" customWidth="1"/>
    <col min="2563" max="2563" width="45.625" style="178" customWidth="1"/>
    <col min="2564" max="2564" width="18.625" style="178" customWidth="1"/>
    <col min="2565" max="2816" width="8.125" style="178"/>
    <col min="2817" max="2817" width="45.625" style="178" customWidth="1"/>
    <col min="2818" max="2818" width="18.625" style="178" customWidth="1"/>
    <col min="2819" max="2819" width="45.625" style="178" customWidth="1"/>
    <col min="2820" max="2820" width="18.625" style="178" customWidth="1"/>
    <col min="2821" max="3072" width="8.125" style="178"/>
    <col min="3073" max="3073" width="45.625" style="178" customWidth="1"/>
    <col min="3074" max="3074" width="18.625" style="178" customWidth="1"/>
    <col min="3075" max="3075" width="45.625" style="178" customWidth="1"/>
    <col min="3076" max="3076" width="18.625" style="178" customWidth="1"/>
    <col min="3077" max="3328" width="8.125" style="178"/>
    <col min="3329" max="3329" width="45.625" style="178" customWidth="1"/>
    <col min="3330" max="3330" width="18.625" style="178" customWidth="1"/>
    <col min="3331" max="3331" width="45.625" style="178" customWidth="1"/>
    <col min="3332" max="3332" width="18.625" style="178" customWidth="1"/>
    <col min="3333" max="3584" width="8.125" style="178"/>
    <col min="3585" max="3585" width="45.625" style="178" customWidth="1"/>
    <col min="3586" max="3586" width="18.625" style="178" customWidth="1"/>
    <col min="3587" max="3587" width="45.625" style="178" customWidth="1"/>
    <col min="3588" max="3588" width="18.625" style="178" customWidth="1"/>
    <col min="3589" max="3840" width="8.125" style="178"/>
    <col min="3841" max="3841" width="45.625" style="178" customWidth="1"/>
    <col min="3842" max="3842" width="18.625" style="178" customWidth="1"/>
    <col min="3843" max="3843" width="45.625" style="178" customWidth="1"/>
    <col min="3844" max="3844" width="18.625" style="178" customWidth="1"/>
    <col min="3845" max="4096" width="8.125" style="178"/>
    <col min="4097" max="4097" width="45.625" style="178" customWidth="1"/>
    <col min="4098" max="4098" width="18.625" style="178" customWidth="1"/>
    <col min="4099" max="4099" width="45.625" style="178" customWidth="1"/>
    <col min="4100" max="4100" width="18.625" style="178" customWidth="1"/>
    <col min="4101" max="4352" width="8.125" style="178"/>
    <col min="4353" max="4353" width="45.625" style="178" customWidth="1"/>
    <col min="4354" max="4354" width="18.625" style="178" customWidth="1"/>
    <col min="4355" max="4355" width="45.625" style="178" customWidth="1"/>
    <col min="4356" max="4356" width="18.625" style="178" customWidth="1"/>
    <col min="4357" max="4608" width="8.125" style="178"/>
    <col min="4609" max="4609" width="45.625" style="178" customWidth="1"/>
    <col min="4610" max="4610" width="18.625" style="178" customWidth="1"/>
    <col min="4611" max="4611" width="45.625" style="178" customWidth="1"/>
    <col min="4612" max="4612" width="18.625" style="178" customWidth="1"/>
    <col min="4613" max="4864" width="8.125" style="178"/>
    <col min="4865" max="4865" width="45.625" style="178" customWidth="1"/>
    <col min="4866" max="4866" width="18.625" style="178" customWidth="1"/>
    <col min="4867" max="4867" width="45.625" style="178" customWidth="1"/>
    <col min="4868" max="4868" width="18.625" style="178" customWidth="1"/>
    <col min="4869" max="5120" width="8.125" style="178"/>
    <col min="5121" max="5121" width="45.625" style="178" customWidth="1"/>
    <col min="5122" max="5122" width="18.625" style="178" customWidth="1"/>
    <col min="5123" max="5123" width="45.625" style="178" customWidth="1"/>
    <col min="5124" max="5124" width="18.625" style="178" customWidth="1"/>
    <col min="5125" max="5376" width="8.125" style="178"/>
    <col min="5377" max="5377" width="45.625" style="178" customWidth="1"/>
    <col min="5378" max="5378" width="18.625" style="178" customWidth="1"/>
    <col min="5379" max="5379" width="45.625" style="178" customWidth="1"/>
    <col min="5380" max="5380" width="18.625" style="178" customWidth="1"/>
    <col min="5381" max="5632" width="8.125" style="178"/>
    <col min="5633" max="5633" width="45.625" style="178" customWidth="1"/>
    <col min="5634" max="5634" width="18.625" style="178" customWidth="1"/>
    <col min="5635" max="5635" width="45.625" style="178" customWidth="1"/>
    <col min="5636" max="5636" width="18.625" style="178" customWidth="1"/>
    <col min="5637" max="5888" width="8.125" style="178"/>
    <col min="5889" max="5889" width="45.625" style="178" customWidth="1"/>
    <col min="5890" max="5890" width="18.625" style="178" customWidth="1"/>
    <col min="5891" max="5891" width="45.625" style="178" customWidth="1"/>
    <col min="5892" max="5892" width="18.625" style="178" customWidth="1"/>
    <col min="5893" max="6144" width="8.125" style="178"/>
    <col min="6145" max="6145" width="45.625" style="178" customWidth="1"/>
    <col min="6146" max="6146" width="18.625" style="178" customWidth="1"/>
    <col min="6147" max="6147" width="45.625" style="178" customWidth="1"/>
    <col min="6148" max="6148" width="18.625" style="178" customWidth="1"/>
    <col min="6149" max="6400" width="8.125" style="178"/>
    <col min="6401" max="6401" width="45.625" style="178" customWidth="1"/>
    <col min="6402" max="6402" width="18.625" style="178" customWidth="1"/>
    <col min="6403" max="6403" width="45.625" style="178" customWidth="1"/>
    <col min="6404" max="6404" width="18.625" style="178" customWidth="1"/>
    <col min="6405" max="6656" width="8.125" style="178"/>
    <col min="6657" max="6657" width="45.625" style="178" customWidth="1"/>
    <col min="6658" max="6658" width="18.625" style="178" customWidth="1"/>
    <col min="6659" max="6659" width="45.625" style="178" customWidth="1"/>
    <col min="6660" max="6660" width="18.625" style="178" customWidth="1"/>
    <col min="6661" max="6912" width="8.125" style="178"/>
    <col min="6913" max="6913" width="45.625" style="178" customWidth="1"/>
    <col min="6914" max="6914" width="18.625" style="178" customWidth="1"/>
    <col min="6915" max="6915" width="45.625" style="178" customWidth="1"/>
    <col min="6916" max="6916" width="18.625" style="178" customWidth="1"/>
    <col min="6917" max="7168" width="8.125" style="178"/>
    <col min="7169" max="7169" width="45.625" style="178" customWidth="1"/>
    <col min="7170" max="7170" width="18.625" style="178" customWidth="1"/>
    <col min="7171" max="7171" width="45.625" style="178" customWidth="1"/>
    <col min="7172" max="7172" width="18.625" style="178" customWidth="1"/>
    <col min="7173" max="7424" width="8.125" style="178"/>
    <col min="7425" max="7425" width="45.625" style="178" customWidth="1"/>
    <col min="7426" max="7426" width="18.625" style="178" customWidth="1"/>
    <col min="7427" max="7427" width="45.625" style="178" customWidth="1"/>
    <col min="7428" max="7428" width="18.625" style="178" customWidth="1"/>
    <col min="7429" max="7680" width="8.125" style="178"/>
    <col min="7681" max="7681" width="45.625" style="178" customWidth="1"/>
    <col min="7682" max="7682" width="18.625" style="178" customWidth="1"/>
    <col min="7683" max="7683" width="45.625" style="178" customWidth="1"/>
    <col min="7684" max="7684" width="18.625" style="178" customWidth="1"/>
    <col min="7685" max="7936" width="8.125" style="178"/>
    <col min="7937" max="7937" width="45.625" style="178" customWidth="1"/>
    <col min="7938" max="7938" width="18.625" style="178" customWidth="1"/>
    <col min="7939" max="7939" width="45.625" style="178" customWidth="1"/>
    <col min="7940" max="7940" width="18.625" style="178" customWidth="1"/>
    <col min="7941" max="8192" width="8.125" style="178"/>
    <col min="8193" max="8193" width="45.625" style="178" customWidth="1"/>
    <col min="8194" max="8194" width="18.625" style="178" customWidth="1"/>
    <col min="8195" max="8195" width="45.625" style="178" customWidth="1"/>
    <col min="8196" max="8196" width="18.625" style="178" customWidth="1"/>
    <col min="8197" max="8448" width="8.125" style="178"/>
    <col min="8449" max="8449" width="45.625" style="178" customWidth="1"/>
    <col min="8450" max="8450" width="18.625" style="178" customWidth="1"/>
    <col min="8451" max="8451" width="45.625" style="178" customWidth="1"/>
    <col min="8452" max="8452" width="18.625" style="178" customWidth="1"/>
    <col min="8453" max="8704" width="8.125" style="178"/>
    <col min="8705" max="8705" width="45.625" style="178" customWidth="1"/>
    <col min="8706" max="8706" width="18.625" style="178" customWidth="1"/>
    <col min="8707" max="8707" width="45.625" style="178" customWidth="1"/>
    <col min="8708" max="8708" width="18.625" style="178" customWidth="1"/>
    <col min="8709" max="8960" width="8.125" style="178"/>
    <col min="8961" max="8961" width="45.625" style="178" customWidth="1"/>
    <col min="8962" max="8962" width="18.625" style="178" customWidth="1"/>
    <col min="8963" max="8963" width="45.625" style="178" customWidth="1"/>
    <col min="8964" max="8964" width="18.625" style="178" customWidth="1"/>
    <col min="8965" max="9216" width="8.125" style="178"/>
    <col min="9217" max="9217" width="45.625" style="178" customWidth="1"/>
    <col min="9218" max="9218" width="18.625" style="178" customWidth="1"/>
    <col min="9219" max="9219" width="45.625" style="178" customWidth="1"/>
    <col min="9220" max="9220" width="18.625" style="178" customWidth="1"/>
    <col min="9221" max="9472" width="8.125" style="178"/>
    <col min="9473" max="9473" width="45.625" style="178" customWidth="1"/>
    <col min="9474" max="9474" width="18.625" style="178" customWidth="1"/>
    <col min="9475" max="9475" width="45.625" style="178" customWidth="1"/>
    <col min="9476" max="9476" width="18.625" style="178" customWidth="1"/>
    <col min="9477" max="9728" width="8.125" style="178"/>
    <col min="9729" max="9729" width="45.625" style="178" customWidth="1"/>
    <col min="9730" max="9730" width="18.625" style="178" customWidth="1"/>
    <col min="9731" max="9731" width="45.625" style="178" customWidth="1"/>
    <col min="9732" max="9732" width="18.625" style="178" customWidth="1"/>
    <col min="9733" max="9984" width="8.125" style="178"/>
    <col min="9985" max="9985" width="45.625" style="178" customWidth="1"/>
    <col min="9986" max="9986" width="18.625" style="178" customWidth="1"/>
    <col min="9987" max="9987" width="45.625" style="178" customWidth="1"/>
    <col min="9988" max="9988" width="18.625" style="178" customWidth="1"/>
    <col min="9989" max="10240" width="8.125" style="178"/>
    <col min="10241" max="10241" width="45.625" style="178" customWidth="1"/>
    <col min="10242" max="10242" width="18.625" style="178" customWidth="1"/>
    <col min="10243" max="10243" width="45.625" style="178" customWidth="1"/>
    <col min="10244" max="10244" width="18.625" style="178" customWidth="1"/>
    <col min="10245" max="10496" width="8.125" style="178"/>
    <col min="10497" max="10497" width="45.625" style="178" customWidth="1"/>
    <col min="10498" max="10498" width="18.625" style="178" customWidth="1"/>
    <col min="10499" max="10499" width="45.625" style="178" customWidth="1"/>
    <col min="10500" max="10500" width="18.625" style="178" customWidth="1"/>
    <col min="10501" max="10752" width="8.125" style="178"/>
    <col min="10753" max="10753" width="45.625" style="178" customWidth="1"/>
    <col min="10754" max="10754" width="18.625" style="178" customWidth="1"/>
    <col min="10755" max="10755" width="45.625" style="178" customWidth="1"/>
    <col min="10756" max="10756" width="18.625" style="178" customWidth="1"/>
    <col min="10757" max="11008" width="8.125" style="178"/>
    <col min="11009" max="11009" width="45.625" style="178" customWidth="1"/>
    <col min="11010" max="11010" width="18.625" style="178" customWidth="1"/>
    <col min="11011" max="11011" width="45.625" style="178" customWidth="1"/>
    <col min="11012" max="11012" width="18.625" style="178" customWidth="1"/>
    <col min="11013" max="11264" width="8.125" style="178"/>
    <col min="11265" max="11265" width="45.625" style="178" customWidth="1"/>
    <col min="11266" max="11266" width="18.625" style="178" customWidth="1"/>
    <col min="11267" max="11267" width="45.625" style="178" customWidth="1"/>
    <col min="11268" max="11268" width="18.625" style="178" customWidth="1"/>
    <col min="11269" max="11520" width="8.125" style="178"/>
    <col min="11521" max="11521" width="45.625" style="178" customWidth="1"/>
    <col min="11522" max="11522" width="18.625" style="178" customWidth="1"/>
    <col min="11523" max="11523" width="45.625" style="178" customWidth="1"/>
    <col min="11524" max="11524" width="18.625" style="178" customWidth="1"/>
    <col min="11525" max="11776" width="8.125" style="178"/>
    <col min="11777" max="11777" width="45.625" style="178" customWidth="1"/>
    <col min="11778" max="11778" width="18.625" style="178" customWidth="1"/>
    <col min="11779" max="11779" width="45.625" style="178" customWidth="1"/>
    <col min="11780" max="11780" width="18.625" style="178" customWidth="1"/>
    <col min="11781" max="12032" width="8.125" style="178"/>
    <col min="12033" max="12033" width="45.625" style="178" customWidth="1"/>
    <col min="12034" max="12034" width="18.625" style="178" customWidth="1"/>
    <col min="12035" max="12035" width="45.625" style="178" customWidth="1"/>
    <col min="12036" max="12036" width="18.625" style="178" customWidth="1"/>
    <col min="12037" max="12288" width="8.125" style="178"/>
    <col min="12289" max="12289" width="45.625" style="178" customWidth="1"/>
    <col min="12290" max="12290" width="18.625" style="178" customWidth="1"/>
    <col min="12291" max="12291" width="45.625" style="178" customWidth="1"/>
    <col min="12292" max="12292" width="18.625" style="178" customWidth="1"/>
    <col min="12293" max="12544" width="8.125" style="178"/>
    <col min="12545" max="12545" width="45.625" style="178" customWidth="1"/>
    <col min="12546" max="12546" width="18.625" style="178" customWidth="1"/>
    <col min="12547" max="12547" width="45.625" style="178" customWidth="1"/>
    <col min="12548" max="12548" width="18.625" style="178" customWidth="1"/>
    <col min="12549" max="12800" width="8.125" style="178"/>
    <col min="12801" max="12801" width="45.625" style="178" customWidth="1"/>
    <col min="12802" max="12802" width="18.625" style="178" customWidth="1"/>
    <col min="12803" max="12803" width="45.625" style="178" customWidth="1"/>
    <col min="12804" max="12804" width="18.625" style="178" customWidth="1"/>
    <col min="12805" max="13056" width="8.125" style="178"/>
    <col min="13057" max="13057" width="45.625" style="178" customWidth="1"/>
    <col min="13058" max="13058" width="18.625" style="178" customWidth="1"/>
    <col min="13059" max="13059" width="45.625" style="178" customWidth="1"/>
    <col min="13060" max="13060" width="18.625" style="178" customWidth="1"/>
    <col min="13061" max="13312" width="8.125" style="178"/>
    <col min="13313" max="13313" width="45.625" style="178" customWidth="1"/>
    <col min="13314" max="13314" width="18.625" style="178" customWidth="1"/>
    <col min="13315" max="13315" width="45.625" style="178" customWidth="1"/>
    <col min="13316" max="13316" width="18.625" style="178" customWidth="1"/>
    <col min="13317" max="13568" width="8.125" style="178"/>
    <col min="13569" max="13569" width="45.625" style="178" customWidth="1"/>
    <col min="13570" max="13570" width="18.625" style="178" customWidth="1"/>
    <col min="13571" max="13571" width="45.625" style="178" customWidth="1"/>
    <col min="13572" max="13572" width="18.625" style="178" customWidth="1"/>
    <col min="13573" max="13824" width="8.125" style="178"/>
    <col min="13825" max="13825" width="45.625" style="178" customWidth="1"/>
    <col min="13826" max="13826" width="18.625" style="178" customWidth="1"/>
    <col min="13827" max="13827" width="45.625" style="178" customWidth="1"/>
    <col min="13828" max="13828" width="18.625" style="178" customWidth="1"/>
    <col min="13829" max="14080" width="8.125" style="178"/>
    <col min="14081" max="14081" width="45.625" style="178" customWidth="1"/>
    <col min="14082" max="14082" width="18.625" style="178" customWidth="1"/>
    <col min="14083" max="14083" width="45.625" style="178" customWidth="1"/>
    <col min="14084" max="14084" width="18.625" style="178" customWidth="1"/>
    <col min="14085" max="14336" width="8.125" style="178"/>
    <col min="14337" max="14337" width="45.625" style="178" customWidth="1"/>
    <col min="14338" max="14338" width="18.625" style="178" customWidth="1"/>
    <col min="14339" max="14339" width="45.625" style="178" customWidth="1"/>
    <col min="14340" max="14340" width="18.625" style="178" customWidth="1"/>
    <col min="14341" max="14592" width="8.125" style="178"/>
    <col min="14593" max="14593" width="45.625" style="178" customWidth="1"/>
    <col min="14594" max="14594" width="18.625" style="178" customWidth="1"/>
    <col min="14595" max="14595" width="45.625" style="178" customWidth="1"/>
    <col min="14596" max="14596" width="18.625" style="178" customWidth="1"/>
    <col min="14597" max="14848" width="8.125" style="178"/>
    <col min="14849" max="14849" width="45.625" style="178" customWidth="1"/>
    <col min="14850" max="14850" width="18.625" style="178" customWidth="1"/>
    <col min="14851" max="14851" width="45.625" style="178" customWidth="1"/>
    <col min="14852" max="14852" width="18.625" style="178" customWidth="1"/>
    <col min="14853" max="15104" width="8.125" style="178"/>
    <col min="15105" max="15105" width="45.625" style="178" customWidth="1"/>
    <col min="15106" max="15106" width="18.625" style="178" customWidth="1"/>
    <col min="15107" max="15107" width="45.625" style="178" customWidth="1"/>
    <col min="15108" max="15108" width="18.625" style="178" customWidth="1"/>
    <col min="15109" max="15360" width="8.125" style="178"/>
    <col min="15361" max="15361" width="45.625" style="178" customWidth="1"/>
    <col min="15362" max="15362" width="18.625" style="178" customWidth="1"/>
    <col min="15363" max="15363" width="45.625" style="178" customWidth="1"/>
    <col min="15364" max="15364" width="18.625" style="178" customWidth="1"/>
    <col min="15365" max="15616" width="8.125" style="178"/>
    <col min="15617" max="15617" width="45.625" style="178" customWidth="1"/>
    <col min="15618" max="15618" width="18.625" style="178" customWidth="1"/>
    <col min="15619" max="15619" width="45.625" style="178" customWidth="1"/>
    <col min="15620" max="15620" width="18.625" style="178" customWidth="1"/>
    <col min="15621" max="15872" width="8.125" style="178"/>
    <col min="15873" max="15873" width="45.625" style="178" customWidth="1"/>
    <col min="15874" max="15874" width="18.625" style="178" customWidth="1"/>
    <col min="15875" max="15875" width="45.625" style="178" customWidth="1"/>
    <col min="15876" max="15876" width="18.625" style="178" customWidth="1"/>
    <col min="15877" max="16128" width="8.125" style="178"/>
    <col min="16129" max="16129" width="45.625" style="178" customWidth="1"/>
    <col min="16130" max="16130" width="18.625" style="178" customWidth="1"/>
    <col min="16131" max="16131" width="45.625" style="178" customWidth="1"/>
    <col min="16132" max="16132" width="18.625" style="178" customWidth="1"/>
    <col min="16133" max="16384" width="8.125" style="178"/>
  </cols>
  <sheetData>
    <row r="1" spans="1:11" ht="22.5" customHeight="1">
      <c r="A1" s="177" t="s">
        <v>299</v>
      </c>
      <c r="C1" s="261" t="s">
        <v>295</v>
      </c>
      <c r="D1" s="261"/>
      <c r="J1" s="179"/>
    </row>
    <row r="2" spans="1:11">
      <c r="A2" s="180"/>
    </row>
    <row r="3" spans="1:11" ht="24" customHeight="1">
      <c r="A3" s="262" t="s">
        <v>311</v>
      </c>
      <c r="B3" s="262"/>
      <c r="C3" s="262"/>
      <c r="D3" s="262"/>
    </row>
    <row r="4" spans="1:11">
      <c r="A4" s="263" t="s">
        <v>191</v>
      </c>
      <c r="B4" s="263"/>
      <c r="C4" s="263"/>
      <c r="D4" s="263"/>
    </row>
    <row r="5" spans="1:11">
      <c r="A5" s="264" t="s">
        <v>290</v>
      </c>
      <c r="B5" s="264"/>
      <c r="C5" s="264"/>
      <c r="D5" s="264"/>
      <c r="K5" s="179"/>
    </row>
    <row r="6" spans="1:11">
      <c r="A6" s="190" t="s">
        <v>117</v>
      </c>
      <c r="B6" s="190" t="s">
        <v>132</v>
      </c>
      <c r="C6" s="190" t="s">
        <v>192</v>
      </c>
      <c r="D6" s="190" t="s">
        <v>132</v>
      </c>
      <c r="F6" s="179" t="s">
        <v>291</v>
      </c>
    </row>
    <row r="7" spans="1:11" ht="24.95" customHeight="1">
      <c r="A7" s="190" t="s">
        <v>193</v>
      </c>
      <c r="B7" s="218">
        <f>B8+B9+B10</f>
        <v>14101916</v>
      </c>
      <c r="C7" s="190" t="s">
        <v>194</v>
      </c>
      <c r="D7" s="219">
        <f>+D8+D9+D10</f>
        <v>14101916</v>
      </c>
    </row>
    <row r="8" spans="1:11" ht="24.95" customHeight="1">
      <c r="A8" s="182" t="s">
        <v>269</v>
      </c>
      <c r="B8" s="220">
        <v>83000</v>
      </c>
      <c r="C8" s="182" t="s">
        <v>275</v>
      </c>
      <c r="D8" s="221">
        <v>6750000</v>
      </c>
    </row>
    <row r="9" spans="1:11" ht="29.25" customHeight="1">
      <c r="A9" s="183" t="s">
        <v>270</v>
      </c>
      <c r="B9" s="222">
        <v>7019700</v>
      </c>
      <c r="C9" s="183" t="s">
        <v>271</v>
      </c>
      <c r="D9" s="185">
        <f>7199882+13960</f>
        <v>7213842</v>
      </c>
    </row>
    <row r="10" spans="1:11" ht="39" customHeight="1">
      <c r="A10" s="184" t="s">
        <v>272</v>
      </c>
      <c r="B10" s="222">
        <v>6999216</v>
      </c>
      <c r="C10" s="184" t="s">
        <v>292</v>
      </c>
      <c r="D10" s="185">
        <v>138074</v>
      </c>
    </row>
    <row r="11" spans="1:11" ht="24.95" customHeight="1">
      <c r="A11" s="184" t="s">
        <v>273</v>
      </c>
      <c r="B11" s="222">
        <f>B10</f>
        <v>6999216</v>
      </c>
      <c r="C11" s="186"/>
      <c r="D11" s="185"/>
    </row>
    <row r="12" spans="1:11" ht="24.95" customHeight="1">
      <c r="A12" s="184" t="s">
        <v>274</v>
      </c>
      <c r="B12" s="222">
        <v>0</v>
      </c>
      <c r="C12" s="184"/>
      <c r="D12" s="185"/>
    </row>
    <row r="13" spans="1:11" ht="42.75" customHeight="1">
      <c r="A13" s="188" t="s">
        <v>296</v>
      </c>
      <c r="B13" s="223"/>
      <c r="C13" s="188"/>
      <c r="D13" s="189"/>
    </row>
    <row r="14" spans="1:11" ht="24.95" customHeight="1">
      <c r="A14" s="190"/>
      <c r="B14" s="181"/>
      <c r="C14" s="187"/>
      <c r="D14" s="187"/>
    </row>
    <row r="15" spans="1:11" ht="41.25" customHeight="1">
      <c r="A15" s="265" t="s">
        <v>293</v>
      </c>
      <c r="B15" s="265"/>
      <c r="C15" s="265"/>
      <c r="D15" s="265"/>
    </row>
  </sheetData>
  <mergeCells count="5">
    <mergeCell ref="C1:D1"/>
    <mergeCell ref="A3:D3"/>
    <mergeCell ref="A4:D4"/>
    <mergeCell ref="A5:D5"/>
    <mergeCell ref="A15:D15"/>
  </mergeCells>
  <hyperlinks>
    <hyperlink ref="F6" location="Mucluc!A1" display="Quay ve"/>
  </hyperlinks>
  <pageMargins left="0.39" right="0.16" top="0.41" bottom="0.26" header="0.2" footer="0.2"/>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9"/>
  <sheetViews>
    <sheetView topLeftCell="A64" workbookViewId="0">
      <selection activeCell="A69" sqref="A69:XFD69"/>
    </sheetView>
  </sheetViews>
  <sheetFormatPr defaultRowHeight="15.75"/>
  <cols>
    <col min="1" max="1" width="5.5" customWidth="1"/>
    <col min="2" max="2" width="44.125" customWidth="1"/>
    <col min="3" max="3" width="14.875" style="87" customWidth="1"/>
    <col min="4" max="4" width="13.125" style="87" customWidth="1"/>
    <col min="5" max="5" width="14.375" style="59" customWidth="1"/>
    <col min="6" max="6" width="20.125" customWidth="1"/>
    <col min="7" max="7" width="14.5" bestFit="1" customWidth="1"/>
    <col min="8" max="8" width="15.875" bestFit="1" customWidth="1"/>
    <col min="9" max="10" width="13.125" bestFit="1" customWidth="1"/>
  </cols>
  <sheetData>
    <row r="1" spans="1:5">
      <c r="A1" s="9" t="s">
        <v>299</v>
      </c>
      <c r="B1" s="2"/>
      <c r="C1" s="82"/>
      <c r="D1" s="113" t="s">
        <v>198</v>
      </c>
    </row>
    <row r="2" spans="1:5" ht="16.5">
      <c r="A2" s="48"/>
      <c r="B2" s="2"/>
      <c r="C2" s="112"/>
      <c r="D2" s="112"/>
      <c r="E2" s="112"/>
    </row>
    <row r="3" spans="1:5" ht="19.5">
      <c r="A3" s="48"/>
      <c r="B3" s="266" t="s">
        <v>300</v>
      </c>
      <c r="C3" s="267"/>
      <c r="D3" s="267"/>
      <c r="E3" s="267"/>
    </row>
    <row r="4" spans="1:5">
      <c r="A4" s="114"/>
      <c r="B4" s="279" t="s">
        <v>191</v>
      </c>
      <c r="C4" s="279"/>
      <c r="D4" s="279"/>
    </row>
    <row r="5" spans="1:5">
      <c r="A5" s="109"/>
      <c r="B5" s="109"/>
      <c r="C5" s="83"/>
      <c r="D5" s="275" t="s">
        <v>226</v>
      </c>
      <c r="E5" s="275"/>
    </row>
    <row r="6" spans="1:5" s="9" customFormat="1" ht="24.95" customHeight="1">
      <c r="A6" s="273" t="s">
        <v>0</v>
      </c>
      <c r="B6" s="273" t="s">
        <v>117</v>
      </c>
      <c r="C6" s="271" t="s">
        <v>307</v>
      </c>
      <c r="D6" s="272"/>
      <c r="E6" s="277" t="s">
        <v>116</v>
      </c>
    </row>
    <row r="7" spans="1:5" s="9" customFormat="1" ht="24.95" customHeight="1">
      <c r="A7" s="274"/>
      <c r="B7" s="274"/>
      <c r="C7" s="138" t="s">
        <v>218</v>
      </c>
      <c r="D7" s="138" t="s">
        <v>219</v>
      </c>
      <c r="E7" s="278"/>
    </row>
    <row r="8" spans="1:5" ht="24.95" customHeight="1">
      <c r="A8" s="139"/>
      <c r="B8" s="140" t="s">
        <v>235</v>
      </c>
      <c r="C8" s="141" t="e">
        <f>+C9+C19+C29</f>
        <v>#REF!</v>
      </c>
      <c r="D8" s="141" t="e">
        <f>+D9+D19+D29</f>
        <v>#REF!</v>
      </c>
      <c r="E8" s="142"/>
    </row>
    <row r="9" spans="1:5" ht="24.95" customHeight="1">
      <c r="A9" s="224" t="s">
        <v>2</v>
      </c>
      <c r="B9" s="225" t="s">
        <v>236</v>
      </c>
      <c r="C9" s="226" t="e">
        <f>SUM(C10:C18)</f>
        <v>#REF!</v>
      </c>
      <c r="D9" s="226" t="e">
        <f>SUM(D10:D18)</f>
        <v>#REF!</v>
      </c>
      <c r="E9" s="227"/>
    </row>
    <row r="10" spans="1:5" ht="24.95" customHeight="1">
      <c r="A10" s="228" t="s">
        <v>8</v>
      </c>
      <c r="B10" s="229" t="s">
        <v>110</v>
      </c>
      <c r="C10" s="230">
        <v>36000</v>
      </c>
      <c r="D10" s="230">
        <f>C10</f>
        <v>36000</v>
      </c>
      <c r="E10" s="231"/>
    </row>
    <row r="11" spans="1:5" s="12" customFormat="1" ht="34.700000000000003" customHeight="1">
      <c r="A11" s="232" t="s">
        <v>8</v>
      </c>
      <c r="B11" s="229" t="s">
        <v>237</v>
      </c>
      <c r="C11" s="230" t="e">
        <f t="shared" ref="C11" si="0">+D11</f>
        <v>#REF!</v>
      </c>
      <c r="D11" s="230" t="e">
        <f>+(#REF!)*1000</f>
        <v>#REF!</v>
      </c>
      <c r="E11" s="233"/>
    </row>
    <row r="12" spans="1:5" s="12" customFormat="1" ht="24" customHeight="1">
      <c r="A12" s="232" t="s">
        <v>8</v>
      </c>
      <c r="B12" s="229" t="s">
        <v>227</v>
      </c>
      <c r="C12" s="230">
        <v>27000</v>
      </c>
      <c r="D12" s="230">
        <f>C12</f>
        <v>27000</v>
      </c>
      <c r="E12" s="233"/>
    </row>
    <row r="13" spans="1:5" ht="36.75" customHeight="1">
      <c r="A13" s="232" t="s">
        <v>8</v>
      </c>
      <c r="B13" s="229" t="s">
        <v>228</v>
      </c>
      <c r="C13" s="230"/>
      <c r="D13" s="230">
        <f>+C13</f>
        <v>0</v>
      </c>
      <c r="E13" s="234"/>
    </row>
    <row r="14" spans="1:5" ht="24.95" customHeight="1">
      <c r="A14" s="232" t="s">
        <v>8</v>
      </c>
      <c r="B14" s="229" t="s">
        <v>229</v>
      </c>
      <c r="C14" s="230"/>
      <c r="D14" s="230"/>
      <c r="E14" s="234"/>
    </row>
    <row r="15" spans="1:5" ht="30" customHeight="1">
      <c r="A15" s="232" t="s">
        <v>8</v>
      </c>
      <c r="B15" s="229" t="s">
        <v>230</v>
      </c>
      <c r="C15" s="230"/>
      <c r="D15" s="230"/>
      <c r="E15" s="234"/>
    </row>
    <row r="16" spans="1:5" ht="35.25" customHeight="1">
      <c r="A16" s="232" t="s">
        <v>8</v>
      </c>
      <c r="B16" s="229" t="s">
        <v>231</v>
      </c>
      <c r="C16" s="230"/>
      <c r="D16" s="230"/>
      <c r="E16" s="235"/>
    </row>
    <row r="17" spans="1:5" ht="24.95" customHeight="1">
      <c r="A17" s="232" t="s">
        <v>8</v>
      </c>
      <c r="B17" s="229" t="s">
        <v>232</v>
      </c>
      <c r="C17" s="230"/>
      <c r="D17" s="230"/>
      <c r="E17" s="234"/>
    </row>
    <row r="18" spans="1:5" ht="24.95" customHeight="1">
      <c r="A18" s="232" t="s">
        <v>8</v>
      </c>
      <c r="B18" s="229" t="s">
        <v>203</v>
      </c>
      <c r="C18" s="230">
        <v>20000</v>
      </c>
      <c r="D18" s="230">
        <f>+C18</f>
        <v>20000</v>
      </c>
      <c r="E18" s="234"/>
    </row>
    <row r="19" spans="1:5" ht="24.95" customHeight="1">
      <c r="A19" s="228" t="s">
        <v>3</v>
      </c>
      <c r="B19" s="236" t="s">
        <v>238</v>
      </c>
      <c r="C19" s="237" t="e">
        <f>SUM(C20:C28)</f>
        <v>#REF!</v>
      </c>
      <c r="D19" s="237" t="e">
        <f>SUM(D20:D27)</f>
        <v>#REF!</v>
      </c>
      <c r="E19" s="233"/>
    </row>
    <row r="20" spans="1:5" ht="24.95" customHeight="1">
      <c r="A20" s="232" t="s">
        <v>8</v>
      </c>
      <c r="B20" s="229" t="s">
        <v>239</v>
      </c>
      <c r="C20" s="238">
        <f>465000+89000</f>
        <v>554000</v>
      </c>
      <c r="D20" s="238">
        <f>93000+62300</f>
        <v>155300</v>
      </c>
      <c r="E20" s="233"/>
    </row>
    <row r="21" spans="1:5" ht="24.95" customHeight="1">
      <c r="A21" s="232" t="s">
        <v>8</v>
      </c>
      <c r="B21" s="229" t="s">
        <v>234</v>
      </c>
      <c r="C21" s="230" t="e">
        <f>+#REF!*1000</f>
        <v>#REF!</v>
      </c>
      <c r="D21" s="230">
        <v>0</v>
      </c>
      <c r="E21" s="234"/>
    </row>
    <row r="22" spans="1:5" ht="24.95" customHeight="1">
      <c r="A22" s="232" t="s">
        <v>8</v>
      </c>
      <c r="B22" s="229" t="s">
        <v>233</v>
      </c>
      <c r="C22" s="230" t="e">
        <f>+#REF!*1000</f>
        <v>#REF!</v>
      </c>
      <c r="D22" s="230" t="e">
        <f>+#REF!*1000</f>
        <v>#REF!</v>
      </c>
      <c r="E22" s="234"/>
    </row>
    <row r="23" spans="1:5" ht="24.95" customHeight="1">
      <c r="A23" s="232" t="s">
        <v>8</v>
      </c>
      <c r="B23" s="229" t="s">
        <v>240</v>
      </c>
      <c r="C23" s="230"/>
      <c r="D23" s="230"/>
      <c r="E23" s="234"/>
    </row>
    <row r="24" spans="1:5" ht="24.95" customHeight="1">
      <c r="A24" s="232" t="s">
        <v>8</v>
      </c>
      <c r="B24" s="229" t="s">
        <v>241</v>
      </c>
      <c r="C24" s="230" t="e">
        <f>+#REF!*1000</f>
        <v>#REF!</v>
      </c>
      <c r="D24" s="230" t="e">
        <f>+#REF!*1000</f>
        <v>#REF!</v>
      </c>
      <c r="E24" s="233"/>
    </row>
    <row r="25" spans="1:5" s="9" customFormat="1" ht="24.95" customHeight="1">
      <c r="A25" s="232" t="s">
        <v>8</v>
      </c>
      <c r="B25" s="229" t="s">
        <v>242</v>
      </c>
      <c r="C25" s="230">
        <v>15000000</v>
      </c>
      <c r="D25" s="230">
        <v>6750000</v>
      </c>
      <c r="E25" s="239"/>
    </row>
    <row r="26" spans="1:5" s="9" customFormat="1" ht="24.95" customHeight="1">
      <c r="A26" s="232" t="s">
        <v>8</v>
      </c>
      <c r="B26" s="229" t="s">
        <v>243</v>
      </c>
      <c r="C26" s="240">
        <v>143000</v>
      </c>
      <c r="D26" s="240">
        <v>114400</v>
      </c>
      <c r="E26" s="239"/>
    </row>
    <row r="27" spans="1:5" s="9" customFormat="1" ht="24.95" customHeight="1">
      <c r="A27" s="232" t="s">
        <v>8</v>
      </c>
      <c r="B27" s="229" t="s">
        <v>244</v>
      </c>
      <c r="C27" s="241"/>
      <c r="D27" s="241"/>
      <c r="E27" s="239"/>
    </row>
    <row r="28" spans="1:5" s="9" customFormat="1" ht="24.95" customHeight="1">
      <c r="A28" s="232"/>
      <c r="B28" s="242" t="s">
        <v>297</v>
      </c>
      <c r="C28" s="230">
        <v>30000</v>
      </c>
      <c r="D28" s="241"/>
      <c r="E28" s="239"/>
    </row>
    <row r="29" spans="1:5" ht="24.95" customHeight="1">
      <c r="A29" s="228" t="s">
        <v>36</v>
      </c>
      <c r="B29" s="236" t="s">
        <v>245</v>
      </c>
      <c r="C29" s="237">
        <f>+C30+C31</f>
        <v>6999216</v>
      </c>
      <c r="D29" s="237">
        <f>+D30+D31</f>
        <v>6999216</v>
      </c>
      <c r="E29" s="243"/>
    </row>
    <row r="30" spans="1:5" ht="24.95" customHeight="1">
      <c r="A30" s="232" t="s">
        <v>8</v>
      </c>
      <c r="B30" s="229" t="s">
        <v>246</v>
      </c>
      <c r="C30" s="244">
        <v>6999216</v>
      </c>
      <c r="D30" s="244">
        <f>C30</f>
        <v>6999216</v>
      </c>
      <c r="E30" s="243"/>
    </row>
    <row r="31" spans="1:5" ht="24.95" customHeight="1">
      <c r="A31" s="232" t="s">
        <v>8</v>
      </c>
      <c r="B31" s="229" t="s">
        <v>247</v>
      </c>
      <c r="C31" s="241"/>
      <c r="D31" s="241"/>
      <c r="E31" s="243"/>
    </row>
    <row r="32" spans="1:5" ht="20.25" customHeight="1">
      <c r="A32" s="245" t="s">
        <v>38</v>
      </c>
      <c r="B32" s="246" t="s">
        <v>308</v>
      </c>
      <c r="C32" s="247">
        <v>0</v>
      </c>
      <c r="D32" s="247">
        <v>0</v>
      </c>
      <c r="E32" s="248"/>
    </row>
    <row r="33" spans="1:5">
      <c r="A33" s="58"/>
      <c r="B33" s="48"/>
      <c r="C33" s="86"/>
      <c r="D33" s="86"/>
      <c r="E33" s="61"/>
    </row>
    <row r="34" spans="1:5">
      <c r="A34" s="58"/>
      <c r="B34" s="48"/>
      <c r="C34" s="86"/>
      <c r="D34" s="86"/>
      <c r="E34" s="61"/>
    </row>
    <row r="35" spans="1:5">
      <c r="A35" s="58"/>
      <c r="B35" s="48"/>
      <c r="C35" s="86"/>
      <c r="D35" s="86"/>
      <c r="E35" s="61"/>
    </row>
    <row r="36" spans="1:5">
      <c r="A36" s="58"/>
      <c r="B36" s="48"/>
      <c r="C36" s="86"/>
      <c r="D36" s="86"/>
      <c r="E36" s="61"/>
    </row>
    <row r="37" spans="1:5">
      <c r="A37" s="58"/>
      <c r="B37" s="48"/>
      <c r="C37" s="86"/>
      <c r="D37" s="86"/>
      <c r="E37" s="61"/>
    </row>
    <row r="38" spans="1:5">
      <c r="A38" s="58"/>
      <c r="B38" s="48"/>
      <c r="C38" s="86"/>
      <c r="D38" s="86"/>
      <c r="E38" s="61"/>
    </row>
    <row r="39" spans="1:5">
      <c r="A39" s="58"/>
      <c r="B39" s="48"/>
      <c r="C39" s="86"/>
      <c r="D39" s="86"/>
      <c r="E39" s="61"/>
    </row>
    <row r="40" spans="1:5">
      <c r="A40" s="58"/>
      <c r="B40" s="48"/>
      <c r="C40" s="86"/>
      <c r="D40" s="86"/>
      <c r="E40" s="61"/>
    </row>
    <row r="41" spans="1:5">
      <c r="A41" s="58"/>
      <c r="B41" s="48"/>
      <c r="C41" s="86"/>
      <c r="D41" s="86"/>
      <c r="E41" s="61"/>
    </row>
    <row r="42" spans="1:5">
      <c r="A42" s="58"/>
      <c r="B42" s="48"/>
      <c r="C42" s="86"/>
      <c r="D42" s="86"/>
      <c r="E42" s="61"/>
    </row>
    <row r="43" spans="1:5">
      <c r="A43" s="58"/>
      <c r="B43" s="48"/>
      <c r="C43" s="86"/>
      <c r="D43" s="86"/>
      <c r="E43" s="61"/>
    </row>
    <row r="44" spans="1:5">
      <c r="A44" s="58"/>
      <c r="B44" s="48"/>
      <c r="C44" s="86"/>
      <c r="D44" s="86"/>
      <c r="E44" s="61"/>
    </row>
    <row r="45" spans="1:5">
      <c r="A45" s="58"/>
      <c r="B45" s="48"/>
      <c r="C45" s="86"/>
      <c r="D45" s="86"/>
      <c r="E45" s="61"/>
    </row>
    <row r="46" spans="1:5">
      <c r="A46" s="58"/>
      <c r="B46" s="48"/>
      <c r="C46" s="86"/>
      <c r="D46" s="86"/>
      <c r="E46" s="61"/>
    </row>
    <row r="47" spans="1:5">
      <c r="A47" s="58"/>
      <c r="B47" s="48"/>
      <c r="C47" s="86"/>
      <c r="D47" s="86"/>
      <c r="E47" s="61"/>
    </row>
    <row r="48" spans="1:5">
      <c r="A48" s="58"/>
      <c r="B48" s="48"/>
      <c r="C48" s="86"/>
      <c r="D48" s="86"/>
      <c r="E48" s="61"/>
    </row>
    <row r="49" spans="1:5">
      <c r="A49" s="58"/>
      <c r="B49" s="48"/>
      <c r="C49" s="86"/>
      <c r="D49" s="86"/>
      <c r="E49" s="61"/>
    </row>
    <row r="50" spans="1:5">
      <c r="A50" s="58"/>
      <c r="B50" s="48"/>
      <c r="C50" s="86"/>
      <c r="D50" s="86"/>
      <c r="E50" s="61"/>
    </row>
    <row r="51" spans="1:5">
      <c r="A51" s="58"/>
      <c r="B51" s="48"/>
      <c r="C51" s="86"/>
      <c r="D51" s="86"/>
      <c r="E51" s="61"/>
    </row>
    <row r="52" spans="1:5">
      <c r="A52" s="58"/>
      <c r="B52" s="48"/>
      <c r="C52" s="86"/>
      <c r="D52" s="86"/>
      <c r="E52" s="61"/>
    </row>
    <row r="53" spans="1:5">
      <c r="A53" s="58"/>
      <c r="B53" s="48"/>
      <c r="C53" s="86"/>
      <c r="D53" s="86"/>
      <c r="E53" s="61"/>
    </row>
    <row r="54" spans="1:5">
      <c r="A54" s="58"/>
      <c r="B54" s="48"/>
      <c r="C54" s="86"/>
      <c r="D54" s="86"/>
      <c r="E54" s="61"/>
    </row>
    <row r="55" spans="1:5">
      <c r="A55" s="58"/>
      <c r="B55" s="48"/>
      <c r="C55" s="86"/>
      <c r="D55" s="86"/>
      <c r="E55" s="61"/>
    </row>
    <row r="56" spans="1:5">
      <c r="A56" s="58"/>
      <c r="B56" s="48"/>
      <c r="C56" s="86"/>
      <c r="D56" s="86"/>
      <c r="E56" s="61"/>
    </row>
    <row r="57" spans="1:5">
      <c r="A57" s="58"/>
      <c r="B57" s="48"/>
      <c r="C57" s="86"/>
      <c r="D57" s="86"/>
      <c r="E57" s="61"/>
    </row>
    <row r="58" spans="1:5">
      <c r="A58" s="58"/>
      <c r="B58" s="48"/>
      <c r="C58" s="86"/>
      <c r="D58" s="86"/>
      <c r="E58" s="61"/>
    </row>
    <row r="59" spans="1:5">
      <c r="A59" s="58"/>
      <c r="B59" s="48"/>
      <c r="C59" s="86"/>
      <c r="D59" s="86"/>
      <c r="E59" s="61"/>
    </row>
    <row r="60" spans="1:5">
      <c r="A60" s="58"/>
      <c r="B60" s="48"/>
      <c r="C60" s="86"/>
      <c r="D60" s="86"/>
      <c r="E60" s="61"/>
    </row>
    <row r="61" spans="1:5">
      <c r="A61" s="58"/>
      <c r="B61" s="48"/>
      <c r="C61" s="86"/>
      <c r="D61" s="86"/>
      <c r="E61" s="61"/>
    </row>
    <row r="62" spans="1:5">
      <c r="A62" s="58"/>
      <c r="B62" s="48"/>
      <c r="C62" s="86"/>
      <c r="D62" s="86"/>
      <c r="E62" s="61"/>
    </row>
    <row r="63" spans="1:5">
      <c r="A63" s="58"/>
      <c r="B63" s="48"/>
      <c r="C63" s="86"/>
      <c r="D63" s="86"/>
      <c r="E63" s="61"/>
    </row>
    <row r="64" spans="1:5">
      <c r="A64" s="58"/>
      <c r="B64" s="48"/>
      <c r="C64" s="86"/>
      <c r="D64" s="86"/>
      <c r="E64" s="61"/>
    </row>
    <row r="65" spans="1:5">
      <c r="A65" s="58"/>
      <c r="B65" s="48"/>
      <c r="C65" s="86"/>
      <c r="D65" s="86"/>
      <c r="E65" s="61"/>
    </row>
    <row r="66" spans="1:5">
      <c r="A66" s="58"/>
      <c r="B66" s="48"/>
      <c r="C66" s="86"/>
      <c r="D66" s="86"/>
      <c r="E66" s="61"/>
    </row>
    <row r="67" spans="1:5">
      <c r="A67" s="58"/>
      <c r="B67" s="48"/>
      <c r="C67" s="86"/>
      <c r="D67" s="86"/>
      <c r="E67" s="61"/>
    </row>
    <row r="68" spans="1:5">
      <c r="A68" s="58"/>
      <c r="B68" s="48"/>
      <c r="C68" s="86"/>
      <c r="D68" s="86"/>
      <c r="E68" s="61"/>
    </row>
    <row r="69" spans="1:5">
      <c r="A69" s="58"/>
      <c r="B69" s="48"/>
      <c r="C69" s="86"/>
      <c r="D69" s="86"/>
      <c r="E69" s="61"/>
    </row>
    <row r="70" spans="1:5">
      <c r="A70" s="58"/>
      <c r="B70" s="48"/>
      <c r="C70" s="86"/>
      <c r="D70" s="86"/>
      <c r="E70" s="61"/>
    </row>
    <row r="71" spans="1:5">
      <c r="A71" s="58"/>
      <c r="B71" s="48"/>
      <c r="C71" s="86"/>
      <c r="D71" s="86"/>
      <c r="E71" s="61"/>
    </row>
    <row r="72" spans="1:5">
      <c r="A72" s="58"/>
      <c r="B72" s="48"/>
      <c r="C72" s="86"/>
      <c r="D72" s="86"/>
      <c r="E72" s="61"/>
    </row>
    <row r="73" spans="1:5">
      <c r="A73" s="58"/>
      <c r="B73" s="48"/>
      <c r="C73" s="86"/>
      <c r="D73" s="86"/>
      <c r="E73" s="61"/>
    </row>
    <row r="74" spans="1:5">
      <c r="A74" s="58"/>
      <c r="B74" s="48"/>
      <c r="C74" s="86"/>
      <c r="D74" s="86"/>
      <c r="E74" s="61"/>
    </row>
    <row r="75" spans="1:5">
      <c r="A75" s="58"/>
      <c r="B75" s="48"/>
      <c r="C75" s="86"/>
      <c r="D75" s="86"/>
      <c r="E75" s="61"/>
    </row>
    <row r="76" spans="1:5">
      <c r="A76" s="58"/>
      <c r="B76" s="48"/>
      <c r="C76" s="86"/>
      <c r="D76" s="86"/>
      <c r="E76" s="61"/>
    </row>
    <row r="77" spans="1:5">
      <c r="A77" s="58"/>
      <c r="B77" s="48"/>
      <c r="C77" s="86"/>
      <c r="D77" s="86"/>
      <c r="E77" s="61"/>
    </row>
    <row r="78" spans="1:5">
      <c r="A78" s="58"/>
      <c r="B78" s="48"/>
      <c r="C78" s="86"/>
      <c r="D78" s="86"/>
      <c r="E78" s="61"/>
    </row>
    <row r="79" spans="1:5">
      <c r="A79" s="58"/>
      <c r="B79" s="48"/>
      <c r="C79" s="86"/>
      <c r="D79" s="86"/>
      <c r="E79" s="61"/>
    </row>
    <row r="80" spans="1:5">
      <c r="A80" s="58"/>
      <c r="B80" s="48"/>
      <c r="C80" s="86"/>
      <c r="D80" s="86"/>
      <c r="E80" s="61"/>
    </row>
    <row r="81" spans="1:5">
      <c r="A81" s="58"/>
      <c r="B81" s="48"/>
      <c r="C81" s="86"/>
      <c r="D81" s="86"/>
      <c r="E81" s="61"/>
    </row>
    <row r="82" spans="1:5">
      <c r="A82" s="58"/>
      <c r="B82" s="48"/>
      <c r="C82" s="86"/>
      <c r="D82" s="86"/>
      <c r="E82" s="61"/>
    </row>
    <row r="83" spans="1:5">
      <c r="A83" s="58"/>
      <c r="B83" s="48"/>
      <c r="C83" s="86"/>
      <c r="D83" s="86"/>
      <c r="E83" s="61"/>
    </row>
    <row r="84" spans="1:5">
      <c r="A84" s="9" t="s">
        <v>197</v>
      </c>
      <c r="B84" s="2"/>
      <c r="C84" s="82"/>
      <c r="D84" s="113" t="s">
        <v>199</v>
      </c>
    </row>
    <row r="85" spans="1:5" ht="16.5">
      <c r="A85" s="48"/>
      <c r="B85" s="2"/>
      <c r="C85" s="112"/>
      <c r="D85" s="112"/>
      <c r="E85" s="112"/>
    </row>
    <row r="86" spans="1:5" ht="19.5">
      <c r="A86" s="48"/>
      <c r="B86" s="266" t="s">
        <v>225</v>
      </c>
      <c r="C86" s="267"/>
      <c r="D86" s="267"/>
      <c r="E86" s="267"/>
    </row>
    <row r="87" spans="1:5">
      <c r="A87" s="114"/>
      <c r="B87" s="279" t="s">
        <v>191</v>
      </c>
      <c r="C87" s="279"/>
      <c r="D87" s="279"/>
    </row>
    <row r="88" spans="1:5">
      <c r="A88" s="1"/>
      <c r="B88" s="3"/>
      <c r="D88" s="115" t="s">
        <v>89</v>
      </c>
    </row>
    <row r="89" spans="1:5" s="9" customFormat="1">
      <c r="A89" s="276" t="s">
        <v>0</v>
      </c>
      <c r="B89" s="276" t="s">
        <v>117</v>
      </c>
      <c r="C89" s="116" t="s">
        <v>132</v>
      </c>
      <c r="D89" s="110"/>
      <c r="E89" s="277" t="s">
        <v>116</v>
      </c>
    </row>
    <row r="90" spans="1:5" s="9" customFormat="1">
      <c r="A90" s="276"/>
      <c r="B90" s="276"/>
      <c r="C90" s="117"/>
      <c r="D90" s="111"/>
      <c r="E90" s="278"/>
    </row>
    <row r="91" spans="1:5" s="18" customFormat="1">
      <c r="A91" s="22"/>
      <c r="B91" s="4" t="s">
        <v>90</v>
      </c>
      <c r="C91" s="88">
        <f>C220+C92+C252</f>
        <v>7285034000</v>
      </c>
      <c r="D91" s="88"/>
      <c r="E91" s="62"/>
    </row>
    <row r="92" spans="1:5" s="18" customFormat="1">
      <c r="A92" s="23" t="s">
        <v>1</v>
      </c>
      <c r="B92" s="5" t="s">
        <v>4</v>
      </c>
      <c r="C92" s="89">
        <f>C96+C108+C111+C119+C124+C129+C134</f>
        <v>4182378000</v>
      </c>
      <c r="D92" s="89"/>
      <c r="E92" s="60"/>
    </row>
    <row r="93" spans="1:5" s="18" customFormat="1">
      <c r="A93" s="23"/>
      <c r="B93" s="5" t="s">
        <v>113</v>
      </c>
      <c r="C93" s="90"/>
      <c r="D93" s="90"/>
      <c r="E93" s="60"/>
    </row>
    <row r="94" spans="1:5" s="12" customFormat="1">
      <c r="A94" s="26"/>
      <c r="B94" s="19" t="s">
        <v>114</v>
      </c>
      <c r="C94" s="91">
        <f>C98+C99+C100+C103+C104+C105+C109+C113+C117+C118+C130+C137+C138+C139+C144+C145+C146+C161+C162+C163+C164+C172+C173+C174+C178+C179+C180+C184+C185+C190+C191+C186+C192+C195+C196+C203+C204+C208+C211+C214+C217</f>
        <v>3101818000</v>
      </c>
      <c r="D94" s="91"/>
      <c r="E94" s="63"/>
    </row>
    <row r="95" spans="1:5" s="12" customFormat="1">
      <c r="A95" s="26"/>
      <c r="B95" s="19" t="s">
        <v>115</v>
      </c>
      <c r="C95" s="91">
        <f>C92-C94</f>
        <v>1080560000</v>
      </c>
      <c r="D95" s="91"/>
      <c r="E95" s="63"/>
    </row>
    <row r="96" spans="1:5" s="18" customFormat="1">
      <c r="A96" s="23">
        <v>1</v>
      </c>
      <c r="B96" s="5" t="s">
        <v>5</v>
      </c>
      <c r="C96" s="89">
        <f>C97+C102</f>
        <v>431620000</v>
      </c>
      <c r="D96" s="89"/>
      <c r="E96" s="60"/>
    </row>
    <row r="97" spans="1:6" s="18" customFormat="1">
      <c r="A97" s="23" t="s">
        <v>6</v>
      </c>
      <c r="B97" s="50" t="s">
        <v>7</v>
      </c>
      <c r="C97" s="89">
        <f>SUM(C98:C101)</f>
        <v>183870000</v>
      </c>
      <c r="D97" s="89"/>
      <c r="E97" s="60"/>
    </row>
    <row r="98" spans="1:6" s="18" customFormat="1">
      <c r="A98" s="24" t="s">
        <v>8</v>
      </c>
      <c r="B98" s="51" t="s">
        <v>98</v>
      </c>
      <c r="C98" s="90">
        <v>47600000</v>
      </c>
      <c r="D98" s="90"/>
      <c r="E98" s="60"/>
    </row>
    <row r="99" spans="1:6" s="18" customFormat="1">
      <c r="A99" s="24" t="s">
        <v>8</v>
      </c>
      <c r="B99" s="51" t="s">
        <v>9</v>
      </c>
      <c r="C99" s="90">
        <v>22950000</v>
      </c>
      <c r="D99" s="90"/>
      <c r="E99" s="60"/>
    </row>
    <row r="100" spans="1:6" s="18" customFormat="1">
      <c r="A100" s="24" t="s">
        <v>8</v>
      </c>
      <c r="B100" s="51" t="s">
        <v>39</v>
      </c>
      <c r="C100" s="107">
        <f>(4.7*1300000*12)</f>
        <v>73320000</v>
      </c>
      <c r="D100" s="107"/>
      <c r="E100" s="60"/>
      <c r="F100" s="18">
        <f>0.5*5+0.55*4</f>
        <v>4.7</v>
      </c>
    </row>
    <row r="101" spans="1:6" s="18" customFormat="1">
      <c r="A101" s="24" t="s">
        <v>8</v>
      </c>
      <c r="B101" s="51" t="s">
        <v>10</v>
      </c>
      <c r="C101" s="90">
        <v>40000000</v>
      </c>
      <c r="D101" s="90"/>
      <c r="E101" s="60"/>
      <c r="F101" s="54"/>
    </row>
    <row r="102" spans="1:6" s="18" customFormat="1">
      <c r="A102" s="23" t="s">
        <v>11</v>
      </c>
      <c r="B102" s="50" t="s">
        <v>76</v>
      </c>
      <c r="C102" s="89">
        <f>SUM(C103:C107)</f>
        <v>247750000</v>
      </c>
      <c r="D102" s="89"/>
      <c r="E102" s="60"/>
    </row>
    <row r="103" spans="1:6" s="18" customFormat="1">
      <c r="A103" s="24" t="s">
        <v>8</v>
      </c>
      <c r="B103" s="51" t="s">
        <v>99</v>
      </c>
      <c r="C103" s="90">
        <v>52200000</v>
      </c>
      <c r="D103" s="90"/>
      <c r="E103" s="60"/>
    </row>
    <row r="104" spans="1:6" s="18" customFormat="1">
      <c r="A104" s="24" t="s">
        <v>8</v>
      </c>
      <c r="B104" s="51" t="s">
        <v>12</v>
      </c>
      <c r="C104" s="90">
        <v>22950000</v>
      </c>
      <c r="D104" s="90"/>
      <c r="E104" s="60"/>
    </row>
    <row r="105" spans="1:6" s="18" customFormat="1">
      <c r="A105" s="24" t="s">
        <v>8</v>
      </c>
      <c r="B105" s="51" t="s">
        <v>40</v>
      </c>
      <c r="C105" s="107">
        <f>8.5*1300000*12</f>
        <v>132600000</v>
      </c>
      <c r="D105" s="107"/>
      <c r="E105" s="60"/>
    </row>
    <row r="106" spans="1:6" s="18" customFormat="1">
      <c r="A106" s="24" t="s">
        <v>8</v>
      </c>
      <c r="B106" s="51" t="s">
        <v>10</v>
      </c>
      <c r="C106" s="90">
        <v>15000000</v>
      </c>
      <c r="D106" s="90"/>
      <c r="E106" s="60"/>
    </row>
    <row r="107" spans="1:6" s="18" customFormat="1">
      <c r="A107" s="24"/>
      <c r="B107" s="51" t="s">
        <v>41</v>
      </c>
      <c r="C107" s="90">
        <v>25000000</v>
      </c>
      <c r="D107" s="90"/>
      <c r="E107" s="60"/>
    </row>
    <row r="108" spans="1:6" s="18" customFormat="1">
      <c r="A108" s="23">
        <v>2</v>
      </c>
      <c r="B108" s="50" t="s">
        <v>128</v>
      </c>
      <c r="C108" s="89">
        <f>SUM(C109:C110)</f>
        <v>22400000</v>
      </c>
      <c r="D108" s="89"/>
      <c r="E108" s="60"/>
    </row>
    <row r="109" spans="1:6" s="18" customFormat="1">
      <c r="A109" s="23" t="s">
        <v>96</v>
      </c>
      <c r="B109" s="51" t="s">
        <v>42</v>
      </c>
      <c r="C109" s="90">
        <v>14400000</v>
      </c>
      <c r="D109" s="90"/>
      <c r="E109" s="60"/>
    </row>
    <row r="110" spans="1:6" s="18" customFormat="1">
      <c r="A110" s="28" t="s">
        <v>72</v>
      </c>
      <c r="B110" s="51" t="s">
        <v>13</v>
      </c>
      <c r="C110" s="90">
        <v>8000000</v>
      </c>
      <c r="D110" s="90"/>
      <c r="E110" s="60"/>
    </row>
    <row r="111" spans="1:6" s="18" customFormat="1">
      <c r="A111" s="23">
        <v>3</v>
      </c>
      <c r="B111" s="50" t="s">
        <v>14</v>
      </c>
      <c r="C111" s="89">
        <f>C112+C115</f>
        <v>109270000</v>
      </c>
      <c r="D111" s="89"/>
      <c r="E111" s="60"/>
    </row>
    <row r="112" spans="1:6" s="12" customFormat="1">
      <c r="A112" s="26" t="s">
        <v>96</v>
      </c>
      <c r="B112" s="52" t="s">
        <v>94</v>
      </c>
      <c r="C112" s="91">
        <f>C113+C114</f>
        <v>41660000</v>
      </c>
      <c r="D112" s="91"/>
      <c r="E112" s="63"/>
    </row>
    <row r="113" spans="1:6" s="18" customFormat="1">
      <c r="A113" s="25" t="s">
        <v>8</v>
      </c>
      <c r="B113" s="51" t="s">
        <v>37</v>
      </c>
      <c r="C113" s="107">
        <f>2.35*1300000*12</f>
        <v>36660000</v>
      </c>
      <c r="D113" s="107"/>
      <c r="E113" s="60"/>
      <c r="F113" s="18">
        <f>0.25*9</f>
        <v>2.25</v>
      </c>
    </row>
    <row r="114" spans="1:6" s="18" customFormat="1">
      <c r="A114" s="24" t="s">
        <v>8</v>
      </c>
      <c r="B114" s="51" t="s">
        <v>109</v>
      </c>
      <c r="C114" s="90">
        <v>5000000</v>
      </c>
      <c r="D114" s="90"/>
      <c r="E114" s="60"/>
    </row>
    <row r="115" spans="1:6" s="12" customFormat="1">
      <c r="A115" s="26" t="s">
        <v>72</v>
      </c>
      <c r="B115" s="52" t="s">
        <v>95</v>
      </c>
      <c r="C115" s="91">
        <f>C116+C117+C118</f>
        <v>67610000</v>
      </c>
      <c r="D115" s="91"/>
      <c r="E115" s="63"/>
      <c r="F115" s="35">
        <v>0.8</v>
      </c>
    </row>
    <row r="116" spans="1:6" s="18" customFormat="1">
      <c r="A116" s="24" t="s">
        <v>8</v>
      </c>
      <c r="B116" s="51" t="s">
        <v>44</v>
      </c>
      <c r="C116" s="90">
        <v>8000000</v>
      </c>
      <c r="D116" s="90"/>
      <c r="E116" s="60"/>
    </row>
    <row r="117" spans="1:6" s="18" customFormat="1">
      <c r="A117" s="24" t="s">
        <v>8</v>
      </c>
      <c r="B117" s="51" t="s">
        <v>43</v>
      </c>
      <c r="C117" s="90">
        <v>22950000</v>
      </c>
      <c r="D117" s="90"/>
      <c r="E117" s="60"/>
    </row>
    <row r="118" spans="1:6" s="18" customFormat="1">
      <c r="A118" s="24" t="s">
        <v>8</v>
      </c>
      <c r="B118" s="51" t="s">
        <v>80</v>
      </c>
      <c r="C118" s="107">
        <f>2.35*1300000*12</f>
        <v>36660000</v>
      </c>
      <c r="D118" s="107"/>
      <c r="E118" s="60"/>
    </row>
    <row r="119" spans="1:6" s="18" customFormat="1">
      <c r="A119" s="23">
        <v>4</v>
      </c>
      <c r="B119" s="50" t="s">
        <v>45</v>
      </c>
      <c r="C119" s="89">
        <f>SUM(C120:C123)</f>
        <v>89000000</v>
      </c>
      <c r="D119" s="89"/>
      <c r="E119" s="60"/>
    </row>
    <row r="120" spans="1:6" s="18" customFormat="1">
      <c r="A120" s="24" t="s">
        <v>8</v>
      </c>
      <c r="B120" s="51" t="s">
        <v>46</v>
      </c>
      <c r="C120" s="90">
        <v>5000000</v>
      </c>
      <c r="D120" s="90"/>
      <c r="E120" s="60"/>
    </row>
    <row r="121" spans="1:6" s="18" customFormat="1">
      <c r="A121" s="24" t="s">
        <v>8</v>
      </c>
      <c r="B121" s="51" t="s">
        <v>47</v>
      </c>
      <c r="C121" s="90">
        <f>20000000+22000000+2000000</f>
        <v>44000000</v>
      </c>
      <c r="D121" s="90"/>
      <c r="E121" s="60"/>
    </row>
    <row r="122" spans="1:6" s="18" customFormat="1">
      <c r="A122" s="24" t="s">
        <v>8</v>
      </c>
      <c r="B122" s="51" t="s">
        <v>48</v>
      </c>
      <c r="C122" s="90">
        <v>20000000</v>
      </c>
      <c r="D122" s="90"/>
      <c r="E122" s="60"/>
    </row>
    <row r="123" spans="1:6" s="18" customFormat="1">
      <c r="A123" s="24" t="s">
        <v>8</v>
      </c>
      <c r="B123" s="51" t="s">
        <v>177</v>
      </c>
      <c r="C123" s="90">
        <v>20000000</v>
      </c>
      <c r="D123" s="90"/>
      <c r="E123" s="60"/>
    </row>
    <row r="124" spans="1:6" s="18" customFormat="1">
      <c r="A124" s="23">
        <v>5</v>
      </c>
      <c r="B124" s="50" t="s">
        <v>15</v>
      </c>
      <c r="C124" s="89">
        <f>SUM(C125:C128)</f>
        <v>140000000</v>
      </c>
      <c r="D124" s="89"/>
      <c r="E124" s="60"/>
    </row>
    <row r="125" spans="1:6" s="18" customFormat="1">
      <c r="A125" s="24" t="s">
        <v>8</v>
      </c>
      <c r="B125" s="14" t="s">
        <v>50</v>
      </c>
      <c r="C125" s="90">
        <v>70000000</v>
      </c>
      <c r="D125" s="90"/>
      <c r="E125" s="60"/>
    </row>
    <row r="126" spans="1:6" s="18" customFormat="1">
      <c r="A126" s="24" t="s">
        <v>8</v>
      </c>
      <c r="B126" s="14" t="s">
        <v>49</v>
      </c>
      <c r="C126" s="90">
        <v>10000000</v>
      </c>
      <c r="D126" s="90"/>
      <c r="E126" s="60"/>
    </row>
    <row r="127" spans="1:6" s="18" customFormat="1">
      <c r="A127" s="24" t="s">
        <v>8</v>
      </c>
      <c r="B127" s="14" t="s">
        <v>118</v>
      </c>
      <c r="C127" s="90">
        <v>20000000</v>
      </c>
      <c r="D127" s="90"/>
      <c r="E127" s="60"/>
    </row>
    <row r="128" spans="1:6" s="18" customFormat="1">
      <c r="A128" s="24" t="s">
        <v>8</v>
      </c>
      <c r="B128" s="14" t="s">
        <v>167</v>
      </c>
      <c r="C128" s="90">
        <v>40000000</v>
      </c>
      <c r="D128" s="90"/>
      <c r="E128" s="60"/>
    </row>
    <row r="129" spans="1:5" s="18" customFormat="1">
      <c r="A129" s="23">
        <v>6</v>
      </c>
      <c r="B129" s="6" t="s">
        <v>16</v>
      </c>
      <c r="C129" s="89">
        <f>SUM(C130:C133)</f>
        <v>364000000</v>
      </c>
      <c r="D129" s="89"/>
      <c r="E129" s="60"/>
    </row>
    <row r="130" spans="1:5" s="18" customFormat="1">
      <c r="A130" s="24" t="s">
        <v>8</v>
      </c>
      <c r="B130" s="14" t="s">
        <v>51</v>
      </c>
      <c r="C130" s="90">
        <f>+(25500000*12)+2500000*4</f>
        <v>316000000</v>
      </c>
      <c r="D130" s="90"/>
      <c r="E130" s="60"/>
    </row>
    <row r="131" spans="1:5" s="18" customFormat="1">
      <c r="A131" s="24" t="s">
        <v>8</v>
      </c>
      <c r="B131" s="14" t="s">
        <v>17</v>
      </c>
      <c r="C131" s="90">
        <f>4500000*4</f>
        <v>18000000</v>
      </c>
      <c r="D131" s="90"/>
      <c r="E131" s="60"/>
    </row>
    <row r="132" spans="1:5" s="18" customFormat="1">
      <c r="A132" s="24" t="s">
        <v>8</v>
      </c>
      <c r="B132" s="14" t="s">
        <v>52</v>
      </c>
      <c r="C132" s="90">
        <v>20000000</v>
      </c>
      <c r="D132" s="90"/>
      <c r="E132" s="60"/>
    </row>
    <row r="133" spans="1:5" s="18" customFormat="1">
      <c r="A133" s="24" t="s">
        <v>8</v>
      </c>
      <c r="B133" s="14" t="s">
        <v>111</v>
      </c>
      <c r="C133" s="90">
        <v>10000000</v>
      </c>
      <c r="D133" s="90"/>
      <c r="E133" s="60"/>
    </row>
    <row r="134" spans="1:5" s="18" customFormat="1">
      <c r="A134" s="23">
        <v>7</v>
      </c>
      <c r="B134" s="6" t="s">
        <v>18</v>
      </c>
      <c r="C134" s="89">
        <f>C135+C160+C171+C177+C183+C189+C194+C200</f>
        <v>3026088000</v>
      </c>
      <c r="D134" s="89"/>
      <c r="E134" s="60"/>
    </row>
    <row r="135" spans="1:5" s="18" customFormat="1">
      <c r="A135" s="23" t="s">
        <v>77</v>
      </c>
      <c r="B135" s="6" t="s">
        <v>129</v>
      </c>
      <c r="C135" s="89">
        <f>C136+C142</f>
        <v>1492530000</v>
      </c>
      <c r="D135" s="89"/>
      <c r="E135" s="60"/>
    </row>
    <row r="136" spans="1:5" s="18" customFormat="1">
      <c r="A136" s="23" t="s">
        <v>78</v>
      </c>
      <c r="B136" s="6" t="s">
        <v>183</v>
      </c>
      <c r="C136" s="89">
        <f>SUM(C137:C141)</f>
        <v>273390000</v>
      </c>
      <c r="D136" s="89"/>
      <c r="E136" s="60"/>
    </row>
    <row r="137" spans="1:5" s="18" customFormat="1">
      <c r="A137" s="24" t="s">
        <v>8</v>
      </c>
      <c r="B137" s="14" t="s">
        <v>19</v>
      </c>
      <c r="C137" s="90">
        <v>56800000</v>
      </c>
      <c r="D137" s="90"/>
      <c r="E137" s="60"/>
    </row>
    <row r="138" spans="1:5" s="18" customFormat="1">
      <c r="A138" s="24"/>
      <c r="B138" s="14" t="s">
        <v>100</v>
      </c>
      <c r="C138" s="90">
        <v>13400000</v>
      </c>
      <c r="D138" s="90"/>
      <c r="E138" s="60"/>
    </row>
    <row r="139" spans="1:5" s="18" customFormat="1">
      <c r="A139" s="24" t="s">
        <v>8</v>
      </c>
      <c r="B139" s="14" t="s">
        <v>188</v>
      </c>
      <c r="C139" s="107">
        <f>(7.8*1300000*12)+3510000</f>
        <v>125190000</v>
      </c>
      <c r="D139" s="107"/>
      <c r="E139" s="60"/>
    </row>
    <row r="140" spans="1:5" s="18" customFormat="1">
      <c r="A140" s="24" t="s">
        <v>8</v>
      </c>
      <c r="B140" s="14" t="s">
        <v>101</v>
      </c>
      <c r="C140" s="90">
        <v>8000000</v>
      </c>
      <c r="D140" s="90"/>
      <c r="E140" s="65"/>
    </row>
    <row r="141" spans="1:5" s="18" customFormat="1">
      <c r="A141" s="24" t="s">
        <v>8</v>
      </c>
      <c r="B141" s="14" t="s">
        <v>112</v>
      </c>
      <c r="C141" s="90">
        <v>70000000</v>
      </c>
      <c r="D141" s="90"/>
      <c r="E141" s="65"/>
    </row>
    <row r="142" spans="1:5" s="18" customFormat="1">
      <c r="A142" s="23" t="s">
        <v>79</v>
      </c>
      <c r="B142" s="6" t="s">
        <v>20</v>
      </c>
      <c r="C142" s="89">
        <f>C143+C147+C158+C159+C157</f>
        <v>1219140000</v>
      </c>
      <c r="D142" s="89"/>
      <c r="E142" s="65"/>
    </row>
    <row r="143" spans="1:5" s="12" customFormat="1">
      <c r="A143" s="26" t="s">
        <v>96</v>
      </c>
      <c r="B143" s="16" t="s">
        <v>114</v>
      </c>
      <c r="C143" s="91">
        <f>SUM(C144:C146)</f>
        <v>982140000</v>
      </c>
      <c r="D143" s="91"/>
      <c r="E143" s="64"/>
    </row>
    <row r="144" spans="1:5" s="18" customFormat="1">
      <c r="A144" s="24" t="s">
        <v>8</v>
      </c>
      <c r="B144" s="14" t="s">
        <v>97</v>
      </c>
      <c r="C144" s="90">
        <v>704300000</v>
      </c>
      <c r="D144" s="90"/>
      <c r="E144" s="65"/>
    </row>
    <row r="145" spans="1:6" s="18" customFormat="1">
      <c r="A145" s="24" t="s">
        <v>8</v>
      </c>
      <c r="B145" s="14" t="s">
        <v>106</v>
      </c>
      <c r="C145" s="90">
        <f>154000000-C250</f>
        <v>131200000</v>
      </c>
      <c r="D145" s="90"/>
      <c r="E145" s="65"/>
    </row>
    <row r="146" spans="1:6" s="18" customFormat="1">
      <c r="A146" s="24" t="s">
        <v>8</v>
      </c>
      <c r="B146" s="14" t="s">
        <v>53</v>
      </c>
      <c r="C146" s="107">
        <f>9.4*1300000*12</f>
        <v>146640000</v>
      </c>
      <c r="D146" s="107"/>
      <c r="E146" s="66"/>
      <c r="F146" s="18">
        <f>1210*1*9*7</f>
        <v>76230</v>
      </c>
    </row>
    <row r="147" spans="1:6" s="12" customFormat="1">
      <c r="A147" s="26" t="s">
        <v>72</v>
      </c>
      <c r="B147" s="16" t="s">
        <v>21</v>
      </c>
      <c r="C147" s="91">
        <f>SUM(C148:C156)</f>
        <v>187000000</v>
      </c>
      <c r="D147" s="91"/>
      <c r="E147" s="67"/>
      <c r="F147" s="12">
        <f>1150*1*4*9</f>
        <v>41400</v>
      </c>
    </row>
    <row r="148" spans="1:6" s="18" customFormat="1">
      <c r="A148" s="24" t="s">
        <v>8</v>
      </c>
      <c r="B148" s="14" t="s">
        <v>22</v>
      </c>
      <c r="C148" s="90">
        <v>20000000</v>
      </c>
      <c r="D148" s="90"/>
      <c r="E148" s="60"/>
    </row>
    <row r="149" spans="1:6" s="18" customFormat="1">
      <c r="A149" s="24" t="s">
        <v>8</v>
      </c>
      <c r="B149" s="14" t="s">
        <v>103</v>
      </c>
      <c r="C149" s="90">
        <v>30000000</v>
      </c>
      <c r="D149" s="90"/>
      <c r="E149" s="60"/>
    </row>
    <row r="150" spans="1:6" s="18" customFormat="1">
      <c r="A150" s="24" t="s">
        <v>8</v>
      </c>
      <c r="B150" s="14" t="s">
        <v>54</v>
      </c>
      <c r="C150" s="90">
        <v>5000000</v>
      </c>
      <c r="D150" s="90"/>
      <c r="E150" s="60"/>
    </row>
    <row r="151" spans="1:6" s="18" customFormat="1">
      <c r="A151" s="24" t="s">
        <v>8</v>
      </c>
      <c r="B151" s="14" t="s">
        <v>107</v>
      </c>
      <c r="C151" s="90">
        <v>20000000</v>
      </c>
      <c r="D151" s="90"/>
      <c r="E151" s="60"/>
    </row>
    <row r="152" spans="1:6" s="18" customFormat="1">
      <c r="A152" s="24" t="s">
        <v>8</v>
      </c>
      <c r="B152" s="14" t="s">
        <v>135</v>
      </c>
      <c r="C152" s="90">
        <v>15000000</v>
      </c>
      <c r="D152" s="90"/>
      <c r="E152" s="60"/>
    </row>
    <row r="153" spans="1:6" s="18" customFormat="1">
      <c r="A153" s="24" t="s">
        <v>8</v>
      </c>
      <c r="B153" s="14" t="s">
        <v>23</v>
      </c>
      <c r="C153" s="90">
        <v>15000000</v>
      </c>
      <c r="D153" s="90"/>
      <c r="E153" s="60"/>
    </row>
    <row r="154" spans="1:6" s="18" customFormat="1">
      <c r="A154" s="24" t="s">
        <v>8</v>
      </c>
      <c r="B154" s="14" t="s">
        <v>152</v>
      </c>
      <c r="C154" s="90">
        <v>7000000</v>
      </c>
      <c r="D154" s="90"/>
      <c r="E154" s="60"/>
    </row>
    <row r="155" spans="1:6" s="18" customFormat="1">
      <c r="A155" s="24" t="s">
        <v>8</v>
      </c>
      <c r="B155" s="14" t="s">
        <v>127</v>
      </c>
      <c r="C155" s="90">
        <v>70000000</v>
      </c>
      <c r="D155" s="90"/>
      <c r="E155" s="60"/>
    </row>
    <row r="156" spans="1:6" s="18" customFormat="1">
      <c r="A156" s="24" t="s">
        <v>8</v>
      </c>
      <c r="B156" s="29" t="s">
        <v>55</v>
      </c>
      <c r="C156" s="90">
        <v>5000000</v>
      </c>
      <c r="D156" s="90"/>
      <c r="E156" s="60"/>
    </row>
    <row r="157" spans="1:6" s="15" customFormat="1">
      <c r="A157" s="26" t="s">
        <v>73</v>
      </c>
      <c r="B157" s="16" t="s">
        <v>102</v>
      </c>
      <c r="C157" s="91">
        <v>15000000</v>
      </c>
      <c r="D157" s="91"/>
      <c r="E157" s="68"/>
    </row>
    <row r="158" spans="1:6" s="15" customFormat="1">
      <c r="A158" s="26" t="s">
        <v>74</v>
      </c>
      <c r="B158" s="30" t="s">
        <v>82</v>
      </c>
      <c r="C158" s="91">
        <v>15000000</v>
      </c>
      <c r="D158" s="91"/>
      <c r="E158" s="68"/>
    </row>
    <row r="159" spans="1:6" s="38" customFormat="1" ht="47.25">
      <c r="A159" s="36" t="s">
        <v>144</v>
      </c>
      <c r="B159" s="37" t="s">
        <v>174</v>
      </c>
      <c r="C159" s="92">
        <v>20000000</v>
      </c>
      <c r="D159" s="92"/>
      <c r="E159" s="69" t="s">
        <v>175</v>
      </c>
    </row>
    <row r="160" spans="1:6" s="18" customFormat="1">
      <c r="A160" s="23" t="s">
        <v>83</v>
      </c>
      <c r="B160" s="6" t="s">
        <v>31</v>
      </c>
      <c r="C160" s="89">
        <f>SUM(C161:C170)</f>
        <v>576260000</v>
      </c>
      <c r="D160" s="89"/>
      <c r="E160" s="70"/>
    </row>
    <row r="161" spans="1:6" s="18" customFormat="1">
      <c r="A161" s="24" t="s">
        <v>8</v>
      </c>
      <c r="B161" s="14" t="s">
        <v>131</v>
      </c>
      <c r="C161" s="90">
        <v>175500000</v>
      </c>
      <c r="D161" s="90"/>
      <c r="E161" s="60"/>
    </row>
    <row r="162" spans="1:6" s="18" customFormat="1">
      <c r="A162" s="24" t="s">
        <v>8</v>
      </c>
      <c r="B162" s="14" t="s">
        <v>32</v>
      </c>
      <c r="C162" s="107">
        <f>4.5*1300000*12</f>
        <v>70200000</v>
      </c>
      <c r="D162" s="107"/>
      <c r="E162" s="60"/>
    </row>
    <row r="163" spans="1:6" s="18" customFormat="1">
      <c r="A163" s="24" t="s">
        <v>8</v>
      </c>
      <c r="B163" s="14" t="s">
        <v>56</v>
      </c>
      <c r="C163" s="107">
        <f>10.3*1300000*12</f>
        <v>160680000</v>
      </c>
      <c r="D163" s="107"/>
      <c r="E163" s="60"/>
      <c r="F163" s="54">
        <f>C163*2</f>
        <v>321360000</v>
      </c>
    </row>
    <row r="164" spans="1:6" s="18" customFormat="1">
      <c r="A164" s="24" t="s">
        <v>8</v>
      </c>
      <c r="B164" s="14" t="s">
        <v>104</v>
      </c>
      <c r="C164" s="107">
        <f>1*1300000*12</f>
        <v>15600000</v>
      </c>
      <c r="D164" s="107"/>
      <c r="E164" s="60"/>
    </row>
    <row r="165" spans="1:6" s="18" customFormat="1">
      <c r="A165" s="24" t="s">
        <v>8</v>
      </c>
      <c r="B165" s="14" t="s">
        <v>134</v>
      </c>
      <c r="C165" s="107">
        <f>3.8*1300000*12</f>
        <v>59280000</v>
      </c>
      <c r="D165" s="107"/>
      <c r="E165" s="60"/>
    </row>
    <row r="166" spans="1:6" s="18" customFormat="1">
      <c r="A166" s="24" t="s">
        <v>8</v>
      </c>
      <c r="B166" s="14" t="s">
        <v>58</v>
      </c>
      <c r="C166" s="90">
        <v>15000000</v>
      </c>
      <c r="D166" s="90"/>
      <c r="E166" s="60"/>
    </row>
    <row r="167" spans="1:6" s="18" customFormat="1">
      <c r="A167" s="24" t="s">
        <v>8</v>
      </c>
      <c r="B167" s="14" t="s">
        <v>57</v>
      </c>
      <c r="C167" s="90">
        <v>3000000</v>
      </c>
      <c r="D167" s="90"/>
      <c r="E167" s="60"/>
    </row>
    <row r="168" spans="1:6" s="18" customFormat="1">
      <c r="A168" s="24" t="s">
        <v>8</v>
      </c>
      <c r="B168" s="14" t="s">
        <v>26</v>
      </c>
      <c r="C168" s="90">
        <v>40000000</v>
      </c>
      <c r="D168" s="90"/>
      <c r="E168" s="60"/>
    </row>
    <row r="169" spans="1:6" s="18" customFormat="1">
      <c r="A169" s="24" t="s">
        <v>8</v>
      </c>
      <c r="B169" s="14" t="s">
        <v>178</v>
      </c>
      <c r="C169" s="90">
        <v>35000000</v>
      </c>
      <c r="D169" s="90"/>
      <c r="E169" s="60"/>
    </row>
    <row r="170" spans="1:6" s="18" customFormat="1">
      <c r="A170" s="24" t="s">
        <v>8</v>
      </c>
      <c r="B170" s="14" t="s">
        <v>59</v>
      </c>
      <c r="C170" s="90">
        <v>2000000</v>
      </c>
      <c r="D170" s="90"/>
      <c r="E170" s="60"/>
    </row>
    <row r="171" spans="1:6" s="18" customFormat="1">
      <c r="A171" s="23" t="s">
        <v>84</v>
      </c>
      <c r="B171" s="6" t="s">
        <v>24</v>
      </c>
      <c r="C171" s="89">
        <f>SUM(C172:C176)</f>
        <v>148580000</v>
      </c>
      <c r="D171" s="89"/>
      <c r="E171" s="60"/>
    </row>
    <row r="172" spans="1:6" s="18" customFormat="1">
      <c r="A172" s="24" t="s">
        <v>8</v>
      </c>
      <c r="B172" s="14" t="s">
        <v>81</v>
      </c>
      <c r="C172" s="90">
        <v>51950000</v>
      </c>
      <c r="D172" s="90"/>
      <c r="E172" s="60"/>
    </row>
    <row r="173" spans="1:6" s="18" customFormat="1">
      <c r="A173" s="24" t="s">
        <v>8</v>
      </c>
      <c r="B173" s="14" t="s">
        <v>63</v>
      </c>
      <c r="C173" s="90">
        <f>22950000+200000*12</f>
        <v>25350000</v>
      </c>
      <c r="D173" s="90"/>
      <c r="E173" s="60"/>
    </row>
    <row r="174" spans="1:6" s="18" customFormat="1">
      <c r="A174" s="24" t="s">
        <v>8</v>
      </c>
      <c r="B174" s="14" t="s">
        <v>25</v>
      </c>
      <c r="C174" s="107">
        <f>3.8*1300000*12</f>
        <v>59280000</v>
      </c>
      <c r="D174" s="107"/>
      <c r="E174" s="60"/>
    </row>
    <row r="175" spans="1:6" s="18" customFormat="1">
      <c r="A175" s="24" t="s">
        <v>105</v>
      </c>
      <c r="B175" s="14" t="s">
        <v>159</v>
      </c>
      <c r="C175" s="90">
        <v>10000000</v>
      </c>
      <c r="D175" s="90"/>
      <c r="E175" s="60"/>
    </row>
    <row r="176" spans="1:6" s="18" customFormat="1">
      <c r="A176" s="24" t="s">
        <v>8</v>
      </c>
      <c r="B176" s="14" t="s">
        <v>160</v>
      </c>
      <c r="C176" s="90">
        <v>2000000</v>
      </c>
      <c r="D176" s="90"/>
      <c r="E176" s="60"/>
    </row>
    <row r="177" spans="1:5" s="18" customFormat="1">
      <c r="A177" s="23" t="s">
        <v>85</v>
      </c>
      <c r="B177" s="6" t="s">
        <v>27</v>
      </c>
      <c r="C177" s="89">
        <f>SUM(C178:C182)</f>
        <v>162530000</v>
      </c>
      <c r="D177" s="89"/>
      <c r="E177" s="60"/>
    </row>
    <row r="178" spans="1:5" s="18" customFormat="1">
      <c r="A178" s="24" t="s">
        <v>8</v>
      </c>
      <c r="B178" s="14" t="s">
        <v>81</v>
      </c>
      <c r="C178" s="90">
        <v>64900000</v>
      </c>
      <c r="D178" s="90"/>
      <c r="E178" s="60"/>
    </row>
    <row r="179" spans="1:5" s="18" customFormat="1">
      <c r="A179" s="24" t="s">
        <v>8</v>
      </c>
      <c r="B179" s="14" t="s">
        <v>63</v>
      </c>
      <c r="C179" s="90">
        <f>22950000+200000*12</f>
        <v>25350000</v>
      </c>
      <c r="D179" s="90"/>
      <c r="E179" s="60"/>
    </row>
    <row r="180" spans="1:5" s="18" customFormat="1">
      <c r="A180" s="24" t="s">
        <v>8</v>
      </c>
      <c r="B180" s="14" t="s">
        <v>28</v>
      </c>
      <c r="C180" s="107">
        <f>3.8*1300000*12</f>
        <v>59280000</v>
      </c>
      <c r="D180" s="107"/>
      <c r="E180" s="60"/>
    </row>
    <row r="181" spans="1:5" s="18" customFormat="1">
      <c r="A181" s="24" t="s">
        <v>8</v>
      </c>
      <c r="B181" s="14" t="s">
        <v>65</v>
      </c>
      <c r="C181" s="90">
        <v>10000000</v>
      </c>
      <c r="D181" s="90"/>
      <c r="E181" s="60"/>
    </row>
    <row r="182" spans="1:5" s="18" customFormat="1">
      <c r="A182" s="24" t="s">
        <v>8</v>
      </c>
      <c r="B182" s="14" t="s">
        <v>61</v>
      </c>
      <c r="C182" s="90">
        <v>3000000</v>
      </c>
      <c r="D182" s="90"/>
      <c r="E182" s="60"/>
    </row>
    <row r="183" spans="1:5" s="18" customFormat="1">
      <c r="A183" s="23" t="s">
        <v>86</v>
      </c>
      <c r="B183" s="6" t="s">
        <v>29</v>
      </c>
      <c r="C183" s="89">
        <f>SUM(C184:C188)</f>
        <v>166130000</v>
      </c>
      <c r="D183" s="89"/>
      <c r="E183" s="60"/>
    </row>
    <row r="184" spans="1:5" s="18" customFormat="1">
      <c r="A184" s="24" t="s">
        <v>8</v>
      </c>
      <c r="B184" s="14" t="s">
        <v>81</v>
      </c>
      <c r="C184" s="93">
        <v>51500000</v>
      </c>
      <c r="D184" s="93"/>
      <c r="E184" s="60"/>
    </row>
    <row r="185" spans="1:5" s="18" customFormat="1">
      <c r="A185" s="24" t="s">
        <v>8</v>
      </c>
      <c r="B185" s="14" t="s">
        <v>63</v>
      </c>
      <c r="C185" s="93">
        <f>22950000+200000*12</f>
        <v>25350000</v>
      </c>
      <c r="D185" s="93"/>
      <c r="E185" s="60"/>
    </row>
    <row r="186" spans="1:5" s="18" customFormat="1">
      <c r="A186" s="24" t="s">
        <v>8</v>
      </c>
      <c r="B186" s="14" t="s">
        <v>28</v>
      </c>
      <c r="C186" s="105">
        <f>3.8*1300000*12</f>
        <v>59280000</v>
      </c>
      <c r="D186" s="105"/>
      <c r="E186" s="60"/>
    </row>
    <row r="187" spans="1:5" s="18" customFormat="1">
      <c r="A187" s="24" t="s">
        <v>8</v>
      </c>
      <c r="B187" s="14" t="s">
        <v>26</v>
      </c>
      <c r="C187" s="93">
        <v>10000000</v>
      </c>
      <c r="D187" s="93"/>
      <c r="E187" s="60"/>
    </row>
    <row r="188" spans="1:5" s="18" customFormat="1">
      <c r="A188" s="24" t="s">
        <v>8</v>
      </c>
      <c r="B188" s="14" t="s">
        <v>161</v>
      </c>
      <c r="C188" s="93">
        <v>20000000</v>
      </c>
      <c r="D188" s="93"/>
      <c r="E188" s="60"/>
    </row>
    <row r="189" spans="1:5" s="18" customFormat="1">
      <c r="A189" s="23" t="s">
        <v>87</v>
      </c>
      <c r="B189" s="6" t="s">
        <v>30</v>
      </c>
      <c r="C189" s="84">
        <f>SUM(C190:C193)</f>
        <v>135030000</v>
      </c>
      <c r="D189" s="84"/>
      <c r="E189" s="60"/>
    </row>
    <row r="190" spans="1:5" s="18" customFormat="1">
      <c r="A190" s="24" t="s">
        <v>8</v>
      </c>
      <c r="B190" s="14" t="s">
        <v>81</v>
      </c>
      <c r="C190" s="93">
        <v>40400000</v>
      </c>
      <c r="D190" s="93"/>
      <c r="E190" s="60"/>
    </row>
    <row r="191" spans="1:5" s="18" customFormat="1">
      <c r="A191" s="24" t="s">
        <v>8</v>
      </c>
      <c r="B191" s="14" t="s">
        <v>63</v>
      </c>
      <c r="C191" s="93">
        <f>22950000+2400000</f>
        <v>25350000</v>
      </c>
      <c r="D191" s="93"/>
      <c r="E191" s="60"/>
    </row>
    <row r="192" spans="1:5" s="18" customFormat="1">
      <c r="A192" s="24" t="s">
        <v>8</v>
      </c>
      <c r="B192" s="14" t="s">
        <v>28</v>
      </c>
      <c r="C192" s="105">
        <f>3.8*1300000*12</f>
        <v>59280000</v>
      </c>
      <c r="D192" s="105"/>
      <c r="E192" s="60"/>
    </row>
    <row r="193" spans="1:5" s="18" customFormat="1">
      <c r="A193" s="24" t="s">
        <v>8</v>
      </c>
      <c r="B193" s="14" t="s">
        <v>26</v>
      </c>
      <c r="C193" s="93">
        <v>10000000</v>
      </c>
      <c r="D193" s="93"/>
      <c r="E193" s="60"/>
    </row>
    <row r="194" spans="1:5" s="18" customFormat="1">
      <c r="A194" s="23" t="s">
        <v>88</v>
      </c>
      <c r="B194" s="6" t="s">
        <v>33</v>
      </c>
      <c r="C194" s="84">
        <f>SUM(C195:C199)</f>
        <v>201332000</v>
      </c>
      <c r="D194" s="84"/>
      <c r="E194" s="60"/>
    </row>
    <row r="195" spans="1:5" s="18" customFormat="1">
      <c r="A195" s="24" t="s">
        <v>8</v>
      </c>
      <c r="B195" s="14" t="s">
        <v>81</v>
      </c>
      <c r="C195" s="93">
        <v>98400000</v>
      </c>
      <c r="D195" s="93"/>
      <c r="E195" s="60"/>
    </row>
    <row r="196" spans="1:5" s="18" customFormat="1">
      <c r="A196" s="24" t="s">
        <v>8</v>
      </c>
      <c r="B196" s="14" t="s">
        <v>60</v>
      </c>
      <c r="C196" s="104">
        <f>(1.3*1300000*12)+(1*1300000*17%*12)</f>
        <v>22932000</v>
      </c>
      <c r="D196" s="104"/>
      <c r="E196" s="60"/>
    </row>
    <row r="197" spans="1:5" s="18" customFormat="1">
      <c r="A197" s="24" t="s">
        <v>8</v>
      </c>
      <c r="B197" s="17" t="s">
        <v>34</v>
      </c>
      <c r="C197" s="93">
        <f>5000000*9</f>
        <v>45000000</v>
      </c>
      <c r="D197" s="93"/>
      <c r="E197" s="60"/>
    </row>
    <row r="198" spans="1:5" s="18" customFormat="1">
      <c r="A198" s="24" t="s">
        <v>8</v>
      </c>
      <c r="B198" s="14" t="s">
        <v>10</v>
      </c>
      <c r="C198" s="93">
        <v>30000000</v>
      </c>
      <c r="D198" s="93"/>
      <c r="E198" s="60"/>
    </row>
    <row r="199" spans="1:5" s="18" customFormat="1">
      <c r="A199" s="24" t="s">
        <v>8</v>
      </c>
      <c r="B199" s="14" t="s">
        <v>168</v>
      </c>
      <c r="C199" s="93">
        <v>5000000</v>
      </c>
      <c r="D199" s="93"/>
      <c r="E199" s="60"/>
    </row>
    <row r="200" spans="1:5" s="18" customFormat="1">
      <c r="A200" s="23" t="s">
        <v>119</v>
      </c>
      <c r="B200" s="6" t="s">
        <v>75</v>
      </c>
      <c r="C200" s="84">
        <f>+C201+C202+C207+C210+C213+C216+C219</f>
        <v>143696000</v>
      </c>
      <c r="D200" s="84"/>
      <c r="E200" s="60"/>
    </row>
    <row r="201" spans="1:5" s="12" customFormat="1">
      <c r="A201" s="26" t="s">
        <v>120</v>
      </c>
      <c r="B201" s="101" t="s">
        <v>162</v>
      </c>
      <c r="C201" s="94">
        <v>7000000</v>
      </c>
      <c r="D201" s="94"/>
      <c r="E201" s="63"/>
    </row>
    <row r="202" spans="1:5" s="12" customFormat="1">
      <c r="A202" s="26" t="s">
        <v>121</v>
      </c>
      <c r="B202" s="16" t="s">
        <v>35</v>
      </c>
      <c r="C202" s="94">
        <f>SUM(C203:C206)</f>
        <v>87160000</v>
      </c>
      <c r="D202" s="94"/>
      <c r="E202" s="63"/>
    </row>
    <row r="203" spans="1:5" s="18" customFormat="1">
      <c r="A203" s="24" t="s">
        <v>8</v>
      </c>
      <c r="B203" s="14" t="s">
        <v>62</v>
      </c>
      <c r="C203" s="93">
        <f>1.3*1300000*12</f>
        <v>20280000</v>
      </c>
      <c r="D203" s="93"/>
      <c r="E203" s="60"/>
    </row>
    <row r="204" spans="1:5" s="18" customFormat="1">
      <c r="A204" s="24" t="s">
        <v>8</v>
      </c>
      <c r="B204" s="14" t="s">
        <v>63</v>
      </c>
      <c r="C204" s="93">
        <v>3600000</v>
      </c>
      <c r="D204" s="93"/>
      <c r="E204" s="60"/>
    </row>
    <row r="205" spans="1:5" s="18" customFormat="1">
      <c r="A205" s="24" t="s">
        <v>8</v>
      </c>
      <c r="B205" s="14" t="s">
        <v>133</v>
      </c>
      <c r="C205" s="105">
        <f>3.8*1300000*12</f>
        <v>59280000</v>
      </c>
      <c r="D205" s="105"/>
      <c r="E205" s="60"/>
    </row>
    <row r="206" spans="1:5" s="18" customFormat="1">
      <c r="A206" s="24" t="s">
        <v>8</v>
      </c>
      <c r="B206" s="14" t="s">
        <v>10</v>
      </c>
      <c r="C206" s="93">
        <v>4000000</v>
      </c>
      <c r="D206" s="93"/>
      <c r="E206" s="60"/>
    </row>
    <row r="207" spans="1:5" s="15" customFormat="1">
      <c r="A207" s="26" t="s">
        <v>122</v>
      </c>
      <c r="B207" s="16" t="s">
        <v>130</v>
      </c>
      <c r="C207" s="94">
        <f>+C208+C209</f>
        <v>27680000</v>
      </c>
      <c r="D207" s="94"/>
      <c r="E207" s="68"/>
    </row>
    <row r="208" spans="1:5" s="18" customFormat="1">
      <c r="A208" s="24" t="s">
        <v>8</v>
      </c>
      <c r="B208" s="14" t="s">
        <v>64</v>
      </c>
      <c r="C208" s="93">
        <f>(1.3*1300000*12)+2400000</f>
        <v>22680000</v>
      </c>
      <c r="D208" s="93"/>
      <c r="E208" s="60"/>
    </row>
    <row r="209" spans="1:6" s="18" customFormat="1">
      <c r="A209" s="24" t="s">
        <v>8</v>
      </c>
      <c r="B209" s="14" t="s">
        <v>65</v>
      </c>
      <c r="C209" s="93">
        <v>5000000</v>
      </c>
      <c r="D209" s="93"/>
      <c r="E209" s="71"/>
    </row>
    <row r="210" spans="1:6" s="15" customFormat="1">
      <c r="A210" s="26" t="s">
        <v>123</v>
      </c>
      <c r="B210" s="16" t="s">
        <v>66</v>
      </c>
      <c r="C210" s="94">
        <f>C211+C212</f>
        <v>8056000</v>
      </c>
      <c r="D210" s="94"/>
      <c r="E210" s="68"/>
    </row>
    <row r="211" spans="1:6" s="18" customFormat="1">
      <c r="A211" s="24" t="s">
        <v>8</v>
      </c>
      <c r="B211" s="14" t="s">
        <v>64</v>
      </c>
      <c r="C211" s="93">
        <f>C203*20%</f>
        <v>4056000</v>
      </c>
      <c r="D211" s="93"/>
      <c r="E211" s="60"/>
    </row>
    <row r="212" spans="1:6" s="18" customFormat="1">
      <c r="A212" s="24" t="s">
        <v>8</v>
      </c>
      <c r="B212" s="14" t="s">
        <v>179</v>
      </c>
      <c r="C212" s="93">
        <v>4000000</v>
      </c>
      <c r="D212" s="93"/>
      <c r="E212" s="60"/>
    </row>
    <row r="213" spans="1:6" s="15" customFormat="1">
      <c r="A213" s="26" t="s">
        <v>124</v>
      </c>
      <c r="B213" s="16" t="s">
        <v>69</v>
      </c>
      <c r="C213" s="94">
        <f>SUM(C214:C215)</f>
        <v>5400000</v>
      </c>
      <c r="D213" s="94"/>
      <c r="E213" s="68"/>
    </row>
    <row r="214" spans="1:6" s="18" customFormat="1">
      <c r="A214" s="24" t="s">
        <v>8</v>
      </c>
      <c r="B214" s="14" t="s">
        <v>64</v>
      </c>
      <c r="C214" s="93">
        <v>2400000</v>
      </c>
      <c r="D214" s="93"/>
      <c r="E214" s="60"/>
    </row>
    <row r="215" spans="1:6" s="18" customFormat="1">
      <c r="A215" s="24" t="s">
        <v>8</v>
      </c>
      <c r="B215" s="14" t="s">
        <v>67</v>
      </c>
      <c r="C215" s="93">
        <v>3000000</v>
      </c>
      <c r="D215" s="93"/>
      <c r="E215" s="65"/>
    </row>
    <row r="216" spans="1:6" s="12" customFormat="1">
      <c r="A216" s="26" t="s">
        <v>180</v>
      </c>
      <c r="B216" s="16" t="s">
        <v>70</v>
      </c>
      <c r="C216" s="94">
        <f>C217+C218</f>
        <v>5400000</v>
      </c>
      <c r="D216" s="94"/>
      <c r="E216" s="63"/>
    </row>
    <row r="217" spans="1:6" s="18" customFormat="1">
      <c r="A217" s="24" t="s">
        <v>8</v>
      </c>
      <c r="B217" s="14" t="s">
        <v>64</v>
      </c>
      <c r="C217" s="93">
        <v>2400000</v>
      </c>
      <c r="D217" s="93"/>
      <c r="E217" s="60"/>
    </row>
    <row r="218" spans="1:6" s="18" customFormat="1">
      <c r="A218" s="24" t="s">
        <v>8</v>
      </c>
      <c r="B218" s="14" t="s">
        <v>67</v>
      </c>
      <c r="C218" s="93">
        <v>3000000</v>
      </c>
      <c r="D218" s="93"/>
      <c r="E218" s="60"/>
    </row>
    <row r="219" spans="1:6" s="12" customFormat="1">
      <c r="A219" s="26" t="s">
        <v>125</v>
      </c>
      <c r="B219" s="16" t="s">
        <v>71</v>
      </c>
      <c r="C219" s="94">
        <v>3000000</v>
      </c>
      <c r="D219" s="94"/>
      <c r="E219" s="63"/>
    </row>
    <row r="220" spans="1:6" s="18" customFormat="1">
      <c r="A220" s="23" t="s">
        <v>91</v>
      </c>
      <c r="B220" s="49" t="s">
        <v>93</v>
      </c>
      <c r="C220" s="84">
        <f>SUM(C221:C248)</f>
        <v>3017800000</v>
      </c>
      <c r="D220" s="84"/>
      <c r="E220" s="60"/>
      <c r="F220" s="45" t="e">
        <f>#REF!-2200000000</f>
        <v>#REF!</v>
      </c>
    </row>
    <row r="221" spans="1:6" s="15" customFormat="1">
      <c r="A221" s="26">
        <v>1</v>
      </c>
      <c r="B221" s="21" t="s">
        <v>172</v>
      </c>
      <c r="C221" s="94">
        <v>220000000</v>
      </c>
      <c r="D221" s="94"/>
      <c r="E221" s="72"/>
    </row>
    <row r="222" spans="1:6" s="12" customFormat="1">
      <c r="A222" s="56" t="s">
        <v>8</v>
      </c>
      <c r="B222" s="55" t="s">
        <v>139</v>
      </c>
      <c r="C222" s="85"/>
      <c r="D222" s="85"/>
      <c r="E222" s="73"/>
    </row>
    <row r="223" spans="1:6" s="12" customFormat="1">
      <c r="A223" s="56" t="s">
        <v>8</v>
      </c>
      <c r="B223" s="55" t="s">
        <v>140</v>
      </c>
      <c r="C223" s="85"/>
      <c r="D223" s="85"/>
      <c r="E223" s="73"/>
    </row>
    <row r="224" spans="1:6" s="12" customFormat="1">
      <c r="A224" s="56" t="s">
        <v>8</v>
      </c>
      <c r="B224" s="55" t="s">
        <v>141</v>
      </c>
      <c r="C224" s="85"/>
      <c r="D224" s="85"/>
      <c r="E224" s="73"/>
    </row>
    <row r="225" spans="1:6" s="12" customFormat="1">
      <c r="A225" s="56" t="s">
        <v>8</v>
      </c>
      <c r="B225" s="55" t="s">
        <v>147</v>
      </c>
      <c r="C225" s="85"/>
      <c r="D225" s="85"/>
      <c r="E225" s="73"/>
    </row>
    <row r="226" spans="1:6" s="12" customFormat="1">
      <c r="A226" s="56" t="s">
        <v>8</v>
      </c>
      <c r="B226" s="55" t="s">
        <v>149</v>
      </c>
      <c r="C226" s="85"/>
      <c r="D226" s="85"/>
      <c r="E226" s="73"/>
    </row>
    <row r="227" spans="1:6" s="12" customFormat="1">
      <c r="A227" s="56" t="s">
        <v>8</v>
      </c>
      <c r="B227" s="55" t="s">
        <v>148</v>
      </c>
      <c r="C227" s="85"/>
      <c r="D227" s="85"/>
      <c r="E227" s="73"/>
    </row>
    <row r="228" spans="1:6" s="12" customFormat="1">
      <c r="A228" s="56" t="s">
        <v>8</v>
      </c>
      <c r="B228" s="106" t="s">
        <v>153</v>
      </c>
      <c r="C228" s="85"/>
      <c r="D228" s="85"/>
      <c r="E228" s="73"/>
    </row>
    <row r="229" spans="1:6" s="12" customFormat="1">
      <c r="A229" s="56"/>
      <c r="B229" s="106"/>
      <c r="C229" s="85"/>
      <c r="D229" s="85"/>
      <c r="E229" s="73"/>
    </row>
    <row r="230" spans="1:6" s="12" customFormat="1">
      <c r="A230" s="56" t="s">
        <v>8</v>
      </c>
      <c r="B230" s="55" t="s">
        <v>150</v>
      </c>
      <c r="C230" s="85"/>
      <c r="D230" s="85"/>
      <c r="E230" s="73" t="s">
        <v>151</v>
      </c>
    </row>
    <row r="231" spans="1:6" s="40" customFormat="1" ht="31.5">
      <c r="A231" s="39">
        <v>2</v>
      </c>
      <c r="B231" s="41" t="s">
        <v>126</v>
      </c>
      <c r="C231" s="102">
        <v>1050000000</v>
      </c>
      <c r="D231" s="102"/>
      <c r="E231" s="74"/>
    </row>
    <row r="232" spans="1:6" s="18" customFormat="1">
      <c r="A232" s="24" t="s">
        <v>8</v>
      </c>
      <c r="B232" s="34" t="s">
        <v>158</v>
      </c>
      <c r="C232" s="93"/>
      <c r="D232" s="93"/>
      <c r="E232" s="60"/>
    </row>
    <row r="233" spans="1:6" s="18" customFormat="1" ht="31.5">
      <c r="A233" s="24" t="s">
        <v>8</v>
      </c>
      <c r="B233" s="108" t="s">
        <v>142</v>
      </c>
      <c r="C233" s="93"/>
      <c r="D233" s="93"/>
      <c r="E233" s="60"/>
      <c r="F233" s="18">
        <v>70.7</v>
      </c>
    </row>
    <row r="234" spans="1:6" s="18" customFormat="1">
      <c r="A234" s="24" t="s">
        <v>8</v>
      </c>
      <c r="B234" s="20" t="s">
        <v>157</v>
      </c>
      <c r="C234" s="95"/>
      <c r="D234" s="95"/>
      <c r="E234" s="60"/>
    </row>
    <row r="235" spans="1:6" s="18" customFormat="1" ht="19.5" hidden="1" customHeight="1">
      <c r="A235" s="24" t="s">
        <v>8</v>
      </c>
      <c r="B235" s="20" t="s">
        <v>143</v>
      </c>
      <c r="C235" s="95"/>
      <c r="D235" s="95"/>
      <c r="E235" s="60"/>
    </row>
    <row r="236" spans="1:6" s="18" customFormat="1" ht="19.5" hidden="1" customHeight="1">
      <c r="A236" s="24" t="s">
        <v>8</v>
      </c>
      <c r="B236" s="20" t="s">
        <v>138</v>
      </c>
      <c r="C236" s="95"/>
      <c r="D236" s="95"/>
      <c r="E236" s="60"/>
    </row>
    <row r="237" spans="1:6" s="18" customFormat="1" ht="19.5" hidden="1" customHeight="1">
      <c r="A237" s="24" t="s">
        <v>8</v>
      </c>
      <c r="B237" s="13" t="s">
        <v>137</v>
      </c>
      <c r="C237" s="93"/>
      <c r="D237" s="93"/>
      <c r="E237" s="60"/>
    </row>
    <row r="238" spans="1:6" s="18" customFormat="1" ht="19.5" hidden="1" customHeight="1">
      <c r="A238" s="24" t="s">
        <v>8</v>
      </c>
      <c r="B238" s="13" t="s">
        <v>156</v>
      </c>
      <c r="C238" s="93"/>
      <c r="D238" s="93"/>
      <c r="E238" s="60"/>
    </row>
    <row r="239" spans="1:6" s="18" customFormat="1" ht="19.5" hidden="1" customHeight="1">
      <c r="A239" s="24"/>
      <c r="B239" s="13" t="s">
        <v>155</v>
      </c>
      <c r="C239" s="93"/>
      <c r="D239" s="93"/>
      <c r="E239" s="60"/>
    </row>
    <row r="240" spans="1:6" s="18" customFormat="1" ht="19.5" hidden="1" customHeight="1">
      <c r="A240" s="24"/>
      <c r="B240" s="13" t="s">
        <v>154</v>
      </c>
      <c r="C240" s="93"/>
      <c r="D240" s="93"/>
      <c r="E240" s="60"/>
    </row>
    <row r="241" spans="1:10" s="18" customFormat="1" ht="19.5" hidden="1" customHeight="1">
      <c r="A241" s="24" t="s">
        <v>8</v>
      </c>
      <c r="B241" s="13" t="s">
        <v>136</v>
      </c>
      <c r="C241" s="93"/>
      <c r="D241" s="93"/>
      <c r="E241" s="60"/>
    </row>
    <row r="242" spans="1:10" s="15" customFormat="1" ht="20.100000000000001" customHeight="1">
      <c r="A242" s="26">
        <v>3</v>
      </c>
      <c r="B242" s="19" t="s">
        <v>181</v>
      </c>
      <c r="C242" s="94">
        <v>20000000</v>
      </c>
      <c r="D242" s="94"/>
      <c r="E242" s="68"/>
    </row>
    <row r="243" spans="1:10" s="15" customFormat="1" ht="20.100000000000001" customHeight="1">
      <c r="A243" s="39">
        <v>4</v>
      </c>
      <c r="B243" s="19" t="s">
        <v>182</v>
      </c>
      <c r="C243" s="94">
        <v>50000000</v>
      </c>
      <c r="D243" s="94"/>
      <c r="E243" s="68"/>
    </row>
    <row r="244" spans="1:10" s="15" customFormat="1" ht="20.100000000000001" customHeight="1">
      <c r="A244" s="103">
        <v>5</v>
      </c>
      <c r="B244" s="19" t="s">
        <v>173</v>
      </c>
      <c r="C244" s="94">
        <v>110000000</v>
      </c>
      <c r="D244" s="94"/>
      <c r="E244" s="68"/>
    </row>
    <row r="245" spans="1:10" s="15" customFormat="1" ht="20.100000000000001" customHeight="1">
      <c r="A245" s="103">
        <v>6</v>
      </c>
      <c r="B245" s="19" t="s">
        <v>164</v>
      </c>
      <c r="C245" s="94">
        <v>280000000</v>
      </c>
      <c r="D245" s="94"/>
      <c r="E245" s="68"/>
    </row>
    <row r="246" spans="1:10" s="15" customFormat="1" ht="20.100000000000001" customHeight="1">
      <c r="A246" s="103">
        <v>7</v>
      </c>
      <c r="B246" s="19" t="s">
        <v>163</v>
      </c>
      <c r="C246" s="94">
        <v>150000000</v>
      </c>
      <c r="D246" s="94"/>
      <c r="E246" s="68"/>
    </row>
    <row r="247" spans="1:10" s="40" customFormat="1" ht="34.5" customHeight="1">
      <c r="A247" s="103">
        <v>8</v>
      </c>
      <c r="B247" s="41" t="s">
        <v>171</v>
      </c>
      <c r="C247" s="102">
        <v>300000000</v>
      </c>
      <c r="D247" s="102"/>
      <c r="E247" s="74"/>
      <c r="F247" s="57" t="e">
        <f>#REF!-C247</f>
        <v>#REF!</v>
      </c>
    </row>
    <row r="248" spans="1:10" s="15" customFormat="1" ht="15" customHeight="1">
      <c r="A248" s="26">
        <v>9</v>
      </c>
      <c r="B248" s="19" t="s">
        <v>68</v>
      </c>
      <c r="C248" s="94">
        <f>SUM(C249:C251)</f>
        <v>837800000</v>
      </c>
      <c r="D248" s="94"/>
      <c r="E248" s="68"/>
      <c r="F248" s="79">
        <f>0.5*1210000</f>
        <v>605000</v>
      </c>
      <c r="G248" s="79">
        <f>0.5*1300000</f>
        <v>650000</v>
      </c>
      <c r="H248" s="79">
        <f>+F248*6</f>
        <v>3630000</v>
      </c>
      <c r="I248" s="81">
        <f>G248*5</f>
        <v>3250000</v>
      </c>
      <c r="J248" s="81">
        <f>+H248+I248</f>
        <v>6880000</v>
      </c>
    </row>
    <row r="249" spans="1:10" s="12" customFormat="1" ht="20.100000000000001" customHeight="1">
      <c r="A249" s="27" t="s">
        <v>184</v>
      </c>
      <c r="B249" s="11" t="s">
        <v>108</v>
      </c>
      <c r="C249" s="85">
        <v>15000000</v>
      </c>
      <c r="D249" s="85"/>
      <c r="E249" s="63"/>
      <c r="F249" s="80">
        <f>0.55*1210000</f>
        <v>665500</v>
      </c>
      <c r="G249" s="80">
        <f>0.55*1300000</f>
        <v>715000</v>
      </c>
      <c r="H249" s="79">
        <f>+F249*6</f>
        <v>3993000</v>
      </c>
      <c r="I249" s="81">
        <f>G249*5</f>
        <v>3575000</v>
      </c>
      <c r="J249" s="81">
        <f>+H249+I249</f>
        <v>7568000</v>
      </c>
    </row>
    <row r="250" spans="1:10" s="12" customFormat="1" ht="20.100000000000001" customHeight="1">
      <c r="A250" s="27" t="s">
        <v>185</v>
      </c>
      <c r="B250" s="11" t="s">
        <v>170</v>
      </c>
      <c r="C250" s="85">
        <f>1900000*12</f>
        <v>22800000</v>
      </c>
      <c r="D250" s="85"/>
      <c r="E250" s="63"/>
    </row>
    <row r="251" spans="1:10" s="47" customFormat="1">
      <c r="A251" s="27" t="s">
        <v>186</v>
      </c>
      <c r="B251" s="46" t="s">
        <v>169</v>
      </c>
      <c r="C251" s="96">
        <v>800000000</v>
      </c>
      <c r="D251" s="96"/>
      <c r="E251" s="75"/>
    </row>
    <row r="252" spans="1:10" s="18" customFormat="1">
      <c r="A252" s="31" t="s">
        <v>92</v>
      </c>
      <c r="B252" s="10" t="s">
        <v>189</v>
      </c>
      <c r="C252" s="97">
        <v>84856000</v>
      </c>
      <c r="D252" s="97"/>
      <c r="E252" s="76"/>
    </row>
    <row r="253" spans="1:10" s="18" customFormat="1">
      <c r="C253" s="98"/>
      <c r="D253" s="98"/>
      <c r="E253" s="59"/>
    </row>
    <row r="254" spans="1:10" s="18" customFormat="1">
      <c r="C254" s="99" t="s">
        <v>187</v>
      </c>
      <c r="D254" s="99"/>
      <c r="E254" s="59"/>
    </row>
    <row r="255" spans="1:10" s="9" customFormat="1">
      <c r="A255" s="32"/>
      <c r="B255" s="7" t="s">
        <v>146</v>
      </c>
      <c r="C255" s="268" t="s">
        <v>176</v>
      </c>
      <c r="D255" s="268"/>
      <c r="E255" s="268"/>
    </row>
    <row r="256" spans="1:10" s="77" customFormat="1" ht="16.5">
      <c r="A256" s="42"/>
      <c r="B256" s="43"/>
      <c r="C256" s="269" t="s">
        <v>165</v>
      </c>
      <c r="D256" s="269"/>
      <c r="E256" s="269"/>
      <c r="F256" s="44"/>
      <c r="G256" s="44"/>
    </row>
    <row r="257" spans="1:7" s="9" customFormat="1">
      <c r="A257" s="33"/>
      <c r="B257" s="8"/>
      <c r="C257" s="100"/>
      <c r="D257" s="100"/>
      <c r="E257" s="78"/>
    </row>
    <row r="258" spans="1:7" s="9" customFormat="1">
      <c r="A258" s="33"/>
      <c r="B258" s="8"/>
      <c r="C258" s="100"/>
      <c r="D258" s="100"/>
      <c r="E258" s="78"/>
    </row>
    <row r="259" spans="1:7" s="9" customFormat="1">
      <c r="A259" s="33"/>
      <c r="B259" s="8"/>
      <c r="C259" s="100"/>
      <c r="D259" s="100"/>
      <c r="E259" s="78"/>
    </row>
    <row r="260" spans="1:7" s="77" customFormat="1" ht="16.5">
      <c r="A260" s="42"/>
      <c r="B260" s="43" t="s">
        <v>145</v>
      </c>
      <c r="C260" s="270" t="s">
        <v>166</v>
      </c>
      <c r="D260" s="270"/>
      <c r="E260" s="270"/>
      <c r="G260" s="77">
        <f>+(1.1*18)+(0.9*5)+(1*4)+(0.55*8)+(0.5*10)+(0.45*6*4)+(0.4*6*5)</f>
        <v>60.5</v>
      </c>
    </row>
    <row r="261" spans="1:7" s="18" customFormat="1">
      <c r="A261" s="33"/>
      <c r="B261" s="8" t="s">
        <v>190</v>
      </c>
      <c r="C261" s="98"/>
      <c r="D261" s="98"/>
      <c r="E261" s="59"/>
      <c r="G261" s="53">
        <f>G260*90000*6</f>
        <v>32670000</v>
      </c>
    </row>
    <row r="262" spans="1:7" s="18" customFormat="1">
      <c r="A262" s="33"/>
      <c r="B262" s="8"/>
      <c r="C262" s="98"/>
      <c r="D262" s="98"/>
      <c r="E262" s="59"/>
      <c r="G262" s="18">
        <f>+(0.3*26)+(0.3*15)</f>
        <v>12.3</v>
      </c>
    </row>
    <row r="263" spans="1:7" s="18" customFormat="1">
      <c r="A263" s="33"/>
      <c r="B263" s="8"/>
      <c r="C263" s="98"/>
      <c r="D263" s="98"/>
      <c r="E263" s="59"/>
      <c r="G263" s="53">
        <f>G262*90000*6</f>
        <v>6642000</v>
      </c>
    </row>
    <row r="264" spans="1:7" s="18" customFormat="1">
      <c r="A264" s="33"/>
      <c r="B264" s="8"/>
      <c r="C264" s="98"/>
      <c r="D264" s="98"/>
      <c r="E264" s="59"/>
    </row>
    <row r="265" spans="1:7" s="18" customFormat="1">
      <c r="A265" s="33"/>
      <c r="B265" s="8"/>
      <c r="C265" s="98"/>
      <c r="D265" s="98"/>
      <c r="E265" s="59"/>
    </row>
    <row r="266" spans="1:7" s="18" customFormat="1">
      <c r="A266" s="33"/>
      <c r="B266" s="8"/>
      <c r="C266" s="98"/>
      <c r="D266" s="98"/>
      <c r="E266" s="59"/>
    </row>
    <row r="267" spans="1:7" s="18" customFormat="1">
      <c r="A267" s="33"/>
      <c r="B267" s="8"/>
      <c r="C267" s="98"/>
      <c r="D267" s="98"/>
      <c r="E267" s="59"/>
    </row>
    <row r="268" spans="1:7" s="18" customFormat="1">
      <c r="A268" s="33"/>
      <c r="B268" s="8"/>
      <c r="C268" s="98"/>
      <c r="D268" s="98"/>
      <c r="E268" s="59"/>
    </row>
    <row r="269" spans="1:7" s="18" customFormat="1">
      <c r="A269" s="33"/>
      <c r="B269" s="8"/>
      <c r="C269" s="98"/>
      <c r="D269" s="98"/>
      <c r="E269" s="59"/>
    </row>
  </sheetData>
  <mergeCells count="15">
    <mergeCell ref="A89:A90"/>
    <mergeCell ref="B89:B90"/>
    <mergeCell ref="E89:E90"/>
    <mergeCell ref="B4:D4"/>
    <mergeCell ref="A6:A7"/>
    <mergeCell ref="E6:E7"/>
    <mergeCell ref="B86:E86"/>
    <mergeCell ref="B87:D87"/>
    <mergeCell ref="B3:E3"/>
    <mergeCell ref="C255:E255"/>
    <mergeCell ref="C256:E256"/>
    <mergeCell ref="C260:E260"/>
    <mergeCell ref="C6:D6"/>
    <mergeCell ref="B6:B7"/>
    <mergeCell ref="D5:E5"/>
  </mergeCells>
  <pageMargins left="0.33" right="0.2" top="0.65" bottom="0.54"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2"/>
  <sheetViews>
    <sheetView topLeftCell="A7" workbookViewId="0">
      <selection activeCell="G27" sqref="G27"/>
    </sheetView>
  </sheetViews>
  <sheetFormatPr defaultColWidth="9" defaultRowHeight="15.75"/>
  <cols>
    <col min="1" max="1" width="4.125" style="153" customWidth="1"/>
    <col min="2" max="2" width="41.875" style="122" customWidth="1"/>
    <col min="3" max="3" width="13.375" style="122" customWidth="1"/>
    <col min="4" max="4" width="13.625" style="122" customWidth="1"/>
    <col min="5" max="5" width="13.125" style="122" customWidth="1"/>
    <col min="6" max="6" width="9" style="122"/>
    <col min="7" max="7" width="33" style="122" customWidth="1"/>
    <col min="8" max="16384" width="9" style="122"/>
  </cols>
  <sheetData>
    <row r="1" spans="1:8" ht="18" customHeight="1">
      <c r="A1" s="152" t="s">
        <v>299</v>
      </c>
      <c r="C1" s="153"/>
      <c r="D1" s="82" t="s">
        <v>199</v>
      </c>
      <c r="E1" s="153"/>
      <c r="G1" s="281"/>
      <c r="H1" s="281"/>
    </row>
    <row r="2" spans="1:8" ht="21" customHeight="1">
      <c r="A2" s="282" t="s">
        <v>312</v>
      </c>
      <c r="B2" s="282"/>
      <c r="C2" s="282"/>
      <c r="D2" s="282"/>
      <c r="E2" s="282"/>
    </row>
    <row r="3" spans="1:8" ht="18.75" customHeight="1">
      <c r="A3" s="283" t="s">
        <v>267</v>
      </c>
      <c r="B3" s="283"/>
      <c r="C3" s="283"/>
      <c r="D3" s="283"/>
      <c r="E3" s="283"/>
      <c r="F3" s="154"/>
      <c r="G3" s="154"/>
      <c r="H3" s="154"/>
    </row>
    <row r="4" spans="1:8">
      <c r="A4" s="155"/>
      <c r="B4" s="155"/>
      <c r="C4" s="155"/>
      <c r="D4" s="155"/>
      <c r="E4" s="155"/>
      <c r="F4" s="155"/>
      <c r="G4" s="155"/>
      <c r="H4" s="155"/>
    </row>
    <row r="5" spans="1:8">
      <c r="A5" s="155"/>
      <c r="B5" s="155"/>
      <c r="C5" s="155"/>
      <c r="D5" s="275" t="s">
        <v>226</v>
      </c>
      <c r="E5" s="275"/>
      <c r="F5" s="155"/>
      <c r="G5" s="155"/>
      <c r="H5" s="155"/>
    </row>
    <row r="6" spans="1:8" ht="24.95" customHeight="1">
      <c r="A6" s="285" t="s">
        <v>0</v>
      </c>
      <c r="B6" s="285" t="s">
        <v>217</v>
      </c>
      <c r="C6" s="285" t="s">
        <v>248</v>
      </c>
      <c r="D6" s="286" t="s">
        <v>249</v>
      </c>
      <c r="E6" s="287"/>
    </row>
    <row r="7" spans="1:8" ht="24.95" customHeight="1">
      <c r="A7" s="285"/>
      <c r="B7" s="285"/>
      <c r="C7" s="285"/>
      <c r="D7" s="137" t="s">
        <v>250</v>
      </c>
      <c r="E7" s="137" t="s">
        <v>251</v>
      </c>
    </row>
    <row r="8" spans="1:8" s="123" customFormat="1" ht="24.95" customHeight="1">
      <c r="A8" s="143"/>
      <c r="B8" s="143" t="s">
        <v>205</v>
      </c>
      <c r="C8" s="166" t="e">
        <f>+C9+C10+C13+C14+C15+C16+C17+C21+C22+C23+C24+C25+C26</f>
        <v>#REF!</v>
      </c>
      <c r="D8" s="166">
        <f>+D9+D10+D13+D14+D15+D16+D17+D21+D22+D23+D24+D25+D26</f>
        <v>6750000</v>
      </c>
      <c r="E8" s="166" t="e">
        <f t="shared" ref="E8" si="0">+E9+E10+E13+E14+E15+E16+E17+E21+E22+E23+E24+E25+E26</f>
        <v>#REF!</v>
      </c>
      <c r="G8" s="123" t="e">
        <f>+C8-[1]Chi!$C$9</f>
        <v>#REF!</v>
      </c>
    </row>
    <row r="9" spans="1:8" ht="24.95" customHeight="1">
      <c r="A9" s="144">
        <v>1</v>
      </c>
      <c r="B9" s="145" t="s">
        <v>201</v>
      </c>
      <c r="C9" s="167">
        <f>SUM(D9:E9)</f>
        <v>1483590</v>
      </c>
      <c r="D9" s="167">
        <v>749420</v>
      </c>
      <c r="E9" s="168">
        <v>734170</v>
      </c>
      <c r="G9" s="122" t="s">
        <v>268</v>
      </c>
    </row>
    <row r="10" spans="1:8" ht="24.95" customHeight="1">
      <c r="A10" s="144">
        <f>A9+1</f>
        <v>2</v>
      </c>
      <c r="B10" s="145" t="s">
        <v>252</v>
      </c>
      <c r="C10" s="167">
        <f t="shared" ref="C10:C26" si="1">SUM(D10:E10)</f>
        <v>0</v>
      </c>
      <c r="D10" s="167"/>
      <c r="E10" s="169"/>
    </row>
    <row r="11" spans="1:8" ht="24.95" customHeight="1">
      <c r="A11" s="144" t="s">
        <v>253</v>
      </c>
      <c r="B11" s="145" t="s">
        <v>254</v>
      </c>
      <c r="C11" s="167">
        <f t="shared" si="1"/>
        <v>0</v>
      </c>
      <c r="D11" s="167"/>
      <c r="E11" s="169"/>
    </row>
    <row r="12" spans="1:8" ht="24.95" customHeight="1">
      <c r="A12" s="144" t="s">
        <v>253</v>
      </c>
      <c r="B12" s="145" t="s">
        <v>255</v>
      </c>
      <c r="C12" s="167">
        <f t="shared" si="1"/>
        <v>0</v>
      </c>
      <c r="D12" s="167"/>
      <c r="E12" s="169"/>
    </row>
    <row r="13" spans="1:8" ht="24.95" customHeight="1">
      <c r="A13" s="144">
        <f>A10+1</f>
        <v>3</v>
      </c>
      <c r="B13" s="145" t="s">
        <v>256</v>
      </c>
      <c r="C13" s="167">
        <f t="shared" si="1"/>
        <v>0</v>
      </c>
      <c r="D13" s="167"/>
      <c r="E13" s="169"/>
    </row>
    <row r="14" spans="1:8" ht="24.95" customHeight="1">
      <c r="A14" s="144">
        <f>A13+1</f>
        <v>4</v>
      </c>
      <c r="B14" s="145" t="s">
        <v>257</v>
      </c>
      <c r="C14" s="167">
        <f t="shared" si="1"/>
        <v>3076480</v>
      </c>
      <c r="D14" s="167">
        <v>3076480</v>
      </c>
      <c r="E14" s="169"/>
    </row>
    <row r="15" spans="1:8" ht="24.95" customHeight="1">
      <c r="A15" s="144">
        <f>A14+1</f>
        <v>5</v>
      </c>
      <c r="B15" s="145" t="s">
        <v>195</v>
      </c>
      <c r="C15" s="167">
        <f t="shared" si="1"/>
        <v>315933</v>
      </c>
      <c r="D15" s="167"/>
      <c r="E15" s="169">
        <v>315933</v>
      </c>
      <c r="F15" s="122">
        <v>283.29500000000002</v>
      </c>
    </row>
    <row r="16" spans="1:8" ht="24.95" customHeight="1">
      <c r="A16" s="144">
        <f>A15+1</f>
        <v>6</v>
      </c>
      <c r="B16" s="145" t="s">
        <v>258</v>
      </c>
      <c r="C16" s="167">
        <f t="shared" si="1"/>
        <v>60000</v>
      </c>
      <c r="D16" s="167"/>
      <c r="E16" s="169">
        <v>60000</v>
      </c>
    </row>
    <row r="17" spans="1:6" ht="37.5" customHeight="1">
      <c r="A17" s="144">
        <f>A16+1</f>
        <v>7</v>
      </c>
      <c r="B17" s="146" t="s">
        <v>259</v>
      </c>
      <c r="C17" s="167">
        <f t="shared" si="1"/>
        <v>310600</v>
      </c>
      <c r="D17" s="167">
        <v>144100</v>
      </c>
      <c r="E17" s="169">
        <v>166500</v>
      </c>
      <c r="F17" s="122">
        <v>107.6182</v>
      </c>
    </row>
    <row r="18" spans="1:6" s="156" customFormat="1" ht="24.95" customHeight="1">
      <c r="A18" s="147" t="s">
        <v>253</v>
      </c>
      <c r="B18" s="148" t="s">
        <v>260</v>
      </c>
      <c r="C18" s="167">
        <f t="shared" si="1"/>
        <v>116500</v>
      </c>
      <c r="D18" s="170"/>
      <c r="E18" s="170">
        <v>116500</v>
      </c>
    </row>
    <row r="19" spans="1:6" s="156" customFormat="1" ht="24.95" customHeight="1">
      <c r="A19" s="147" t="s">
        <v>253</v>
      </c>
      <c r="B19" s="148" t="s">
        <v>261</v>
      </c>
      <c r="C19" s="167">
        <f t="shared" si="1"/>
        <v>30000</v>
      </c>
      <c r="D19" s="170"/>
      <c r="E19" s="170">
        <v>30000</v>
      </c>
    </row>
    <row r="20" spans="1:6" s="156" customFormat="1" ht="24.95" customHeight="1">
      <c r="A20" s="147" t="s">
        <v>253</v>
      </c>
      <c r="B20" s="148" t="s">
        <v>206</v>
      </c>
      <c r="C20" s="167">
        <f t="shared" si="1"/>
        <v>20000</v>
      </c>
      <c r="D20" s="170"/>
      <c r="E20" s="170">
        <v>20000</v>
      </c>
    </row>
    <row r="21" spans="1:6" ht="53.25" customHeight="1">
      <c r="A21" s="144">
        <f>A17+1</f>
        <v>8</v>
      </c>
      <c r="B21" s="145" t="s">
        <v>262</v>
      </c>
      <c r="C21" s="167">
        <f t="shared" si="1"/>
        <v>50000</v>
      </c>
      <c r="D21" s="167"/>
      <c r="E21" s="169">
        <v>50000</v>
      </c>
    </row>
    <row r="22" spans="1:6" ht="24.95" customHeight="1">
      <c r="A22" s="144">
        <f>A21+1</f>
        <v>9</v>
      </c>
      <c r="B22" s="145" t="s">
        <v>263</v>
      </c>
      <c r="C22" s="167">
        <f t="shared" si="1"/>
        <v>361300</v>
      </c>
      <c r="D22" s="167"/>
      <c r="E22" s="168">
        <v>361300</v>
      </c>
    </row>
    <row r="23" spans="1:6" ht="24.95" customHeight="1">
      <c r="A23" s="144">
        <f>A22+1</f>
        <v>10</v>
      </c>
      <c r="B23" s="145" t="s">
        <v>264</v>
      </c>
      <c r="C23" s="167">
        <f t="shared" si="1"/>
        <v>8241588</v>
      </c>
      <c r="D23" s="167">
        <f>1980000+800000</f>
        <v>2780000</v>
      </c>
      <c r="E23" s="168">
        <v>5461588</v>
      </c>
      <c r="F23" s="122">
        <v>3334.7357999999999</v>
      </c>
    </row>
    <row r="24" spans="1:6" ht="24.95" customHeight="1">
      <c r="A24" s="144">
        <f>A23+1</f>
        <v>11</v>
      </c>
      <c r="B24" s="146" t="s">
        <v>265</v>
      </c>
      <c r="C24" s="167">
        <f t="shared" si="1"/>
        <v>13960</v>
      </c>
      <c r="D24" s="167"/>
      <c r="E24" s="169">
        <v>13960</v>
      </c>
    </row>
    <row r="25" spans="1:6" ht="24.95" customHeight="1">
      <c r="A25" s="144">
        <f>A24+1</f>
        <v>12</v>
      </c>
      <c r="B25" s="146" t="s">
        <v>266</v>
      </c>
      <c r="C25" s="167" t="e">
        <f t="shared" si="1"/>
        <v>#REF!</v>
      </c>
      <c r="D25" s="167"/>
      <c r="E25" s="169" t="e">
        <f>+#REF!*1000</f>
        <v>#REF!</v>
      </c>
    </row>
    <row r="26" spans="1:6" ht="24.95" customHeight="1">
      <c r="A26" s="144">
        <f>A25+1</f>
        <v>13</v>
      </c>
      <c r="B26" s="146" t="s">
        <v>196</v>
      </c>
      <c r="C26" s="167" t="e">
        <f t="shared" si="1"/>
        <v>#REF!</v>
      </c>
      <c r="D26" s="167"/>
      <c r="E26" s="167" t="e">
        <f>+#REF!*1000</f>
        <v>#REF!</v>
      </c>
      <c r="F26" s="122">
        <v>91.573999999999998</v>
      </c>
    </row>
    <row r="27" spans="1:6" s="123" customFormat="1" ht="24.95" customHeight="1">
      <c r="A27" s="149"/>
      <c r="B27" s="150"/>
      <c r="C27" s="151"/>
      <c r="D27" s="151"/>
      <c r="E27" s="151"/>
    </row>
    <row r="28" spans="1:6" ht="20.100000000000001" customHeight="1"/>
    <row r="29" spans="1:6" s="159" customFormat="1" ht="20.100000000000001" customHeight="1">
      <c r="A29" s="157"/>
      <c r="B29" s="284"/>
      <c r="C29" s="284"/>
      <c r="D29" s="284"/>
      <c r="E29" s="284"/>
      <c r="F29" s="158"/>
    </row>
    <row r="30" spans="1:6" s="159" customFormat="1" ht="20.100000000000001" customHeight="1">
      <c r="A30" s="157"/>
      <c r="B30" s="160"/>
      <c r="C30" s="161"/>
      <c r="D30" s="161"/>
      <c r="E30" s="160"/>
      <c r="F30" s="160"/>
    </row>
    <row r="31" spans="1:6" s="159" customFormat="1" ht="18.75" customHeight="1">
      <c r="A31" s="157"/>
      <c r="B31" s="160"/>
      <c r="C31" s="161"/>
      <c r="D31" s="161"/>
    </row>
    <row r="32" spans="1:6" s="159" customFormat="1" ht="24" customHeight="1">
      <c r="A32" s="157"/>
      <c r="B32" s="160"/>
      <c r="C32" s="161"/>
      <c r="D32" s="161"/>
    </row>
    <row r="33" spans="1:5" s="159" customFormat="1" ht="27" customHeight="1">
      <c r="A33" s="157"/>
      <c r="B33" s="162"/>
      <c r="C33" s="161"/>
      <c r="D33" s="161"/>
    </row>
    <row r="34" spans="1:5" s="159" customFormat="1" ht="21" customHeight="1">
      <c r="A34" s="157"/>
      <c r="B34" s="160"/>
      <c r="D34" s="280"/>
      <c r="E34" s="280"/>
    </row>
    <row r="35" spans="1:5" ht="21" customHeight="1"/>
    <row r="36" spans="1:5" ht="22.5" customHeight="1"/>
    <row r="37" spans="1:5" ht="15.75" hidden="1" customHeight="1"/>
    <row r="38" spans="1:5" ht="15.75" hidden="1" customHeight="1"/>
    <row r="39" spans="1:5" ht="15.75" hidden="1" customHeight="1"/>
    <row r="40" spans="1:5" ht="15.75" hidden="1" customHeight="1"/>
    <row r="41" spans="1:5" ht="21" customHeight="1"/>
    <row r="42" spans="1:5" ht="15.75" hidden="1" customHeight="1"/>
    <row r="43" spans="1:5" ht="15.75" hidden="1" customHeight="1"/>
    <row r="44" spans="1:5" ht="15.75" hidden="1" customHeight="1"/>
    <row r="45" spans="1:5" ht="15.75" hidden="1" customHeight="1"/>
    <row r="46" spans="1:5" ht="22.5" customHeight="1"/>
    <row r="47" spans="1:5" ht="15.75" hidden="1" customHeight="1"/>
    <row r="48" spans="1:5" ht="15.75" hidden="1" customHeight="1"/>
    <row r="49" s="122" customFormat="1" ht="15.75" hidden="1" customHeight="1"/>
    <row r="50" s="122" customFormat="1" ht="15.75" hidden="1" customHeight="1"/>
    <row r="51" s="122" customFormat="1" ht="15.75" hidden="1" customHeight="1"/>
    <row r="52" s="122" customFormat="1" ht="15.75" hidden="1" customHeight="1"/>
    <row r="53" s="122" customFormat="1" ht="15.75" hidden="1" customHeight="1"/>
    <row r="54" s="122" customFormat="1" ht="15.75" hidden="1" customHeight="1"/>
    <row r="55" s="122" customFormat="1" ht="15.75" hidden="1" customHeight="1"/>
    <row r="56" s="122" customFormat="1" ht="15.75" hidden="1" customHeight="1"/>
    <row r="57" s="122" customFormat="1" ht="15.75" hidden="1" customHeight="1"/>
    <row r="58" s="122" customFormat="1" ht="15.75" hidden="1" customHeight="1"/>
    <row r="59" s="122" customFormat="1" ht="15.75" hidden="1" customHeight="1"/>
    <row r="60" s="122" customFormat="1" ht="15.75" hidden="1" customHeight="1"/>
    <row r="61" s="122" customFormat="1" ht="15.75" hidden="1" customHeight="1"/>
    <row r="62" s="122" customFormat="1" ht="15.75" hidden="1" customHeight="1"/>
    <row r="63" s="122" customFormat="1" ht="15.75" hidden="1" customHeight="1"/>
    <row r="64" s="122" customFormat="1" ht="15.75" hidden="1" customHeight="1"/>
    <row r="65" s="122" customFormat="1" ht="15.75" hidden="1" customHeight="1"/>
    <row r="66" s="122" customFormat="1" ht="15.75" hidden="1" customHeight="1"/>
    <row r="67" s="122" customFormat="1" ht="15.75" hidden="1" customHeight="1"/>
    <row r="68" s="122" customFormat="1" ht="15.75" hidden="1" customHeight="1"/>
    <row r="69" s="122" customFormat="1" ht="0.75" hidden="1" customHeight="1"/>
    <row r="70" s="122" customFormat="1" ht="15.75" hidden="1" customHeight="1"/>
    <row r="71" s="122" customFormat="1" ht="47.25" hidden="1" customHeight="1"/>
    <row r="72" s="122" customFormat="1" ht="15.75" hidden="1" customHeight="1"/>
    <row r="73" s="122" customFormat="1" ht="15.75" hidden="1" customHeight="1"/>
    <row r="74" s="122" customFormat="1" ht="15.75" hidden="1" customHeight="1"/>
    <row r="75" s="122" customFormat="1" ht="15.75" hidden="1" customHeight="1"/>
    <row r="76" s="122" customFormat="1" ht="15.75" hidden="1" customHeight="1"/>
    <row r="77" s="122" customFormat="1" ht="15.75" hidden="1" customHeight="1"/>
    <row r="78" s="122" customFormat="1" ht="15.75" hidden="1" customHeight="1"/>
    <row r="79" s="122" customFormat="1" ht="15.75" hidden="1" customHeight="1"/>
    <row r="80" s="122" customFormat="1" ht="15.75" hidden="1" customHeight="1"/>
    <row r="81" s="122" customFormat="1" ht="15.75" hidden="1" customHeight="1"/>
    <row r="82" s="122" customFormat="1" ht="15.75" hidden="1" customHeight="1"/>
    <row r="83" s="122" customFormat="1" ht="15.75" hidden="1" customHeight="1"/>
    <row r="84" s="122" customFormat="1" ht="15.75" hidden="1" customHeight="1"/>
    <row r="85" s="122" customFormat="1" ht="15.75" hidden="1" customHeight="1"/>
    <row r="86" s="122" customFormat="1" ht="15.75" hidden="1" customHeight="1"/>
    <row r="87" s="122" customFormat="1" ht="15.75" hidden="1" customHeight="1"/>
    <row r="88" s="122" customFormat="1" ht="15.75" hidden="1" customHeight="1"/>
    <row r="89" s="122" customFormat="1" ht="15.75" hidden="1" customHeight="1"/>
    <row r="90" s="122" customFormat="1" ht="15.75" hidden="1" customHeight="1"/>
    <row r="91" s="122" customFormat="1" ht="15.75" hidden="1" customHeight="1"/>
    <row r="92" s="122" customFormat="1" ht="15.75" hidden="1" customHeight="1"/>
    <row r="93" s="122" customFormat="1" ht="15.75" hidden="1" customHeight="1"/>
    <row r="94" s="122" customFormat="1" ht="15.75" hidden="1" customHeight="1"/>
    <row r="95" s="122" customFormat="1" ht="15.75" hidden="1" customHeight="1"/>
    <row r="96" s="122" customFormat="1" ht="15.75" hidden="1" customHeight="1"/>
    <row r="97" s="122" customFormat="1" ht="15.75" hidden="1" customHeight="1"/>
    <row r="98" s="122" customFormat="1" ht="15.75" hidden="1" customHeight="1"/>
    <row r="99" s="122" customFormat="1" ht="15.75" hidden="1" customHeight="1"/>
    <row r="100" s="122" customFormat="1" ht="15.75" hidden="1" customHeight="1"/>
    <row r="101" s="122" customFormat="1" ht="15.75" hidden="1" customHeight="1"/>
    <row r="102" s="122" customFormat="1" ht="15.75" hidden="1" customHeight="1"/>
    <row r="103" s="122" customFormat="1" ht="15.75" hidden="1" customHeight="1"/>
    <row r="104" s="122" customFormat="1" ht="15.75" hidden="1" customHeight="1"/>
    <row r="105" s="122" customFormat="1" ht="15.75" hidden="1" customHeight="1"/>
    <row r="106" s="122" customFormat="1" ht="15.75" hidden="1" customHeight="1"/>
    <row r="107" s="122" customFormat="1" ht="30" hidden="1" customHeight="1"/>
    <row r="108" s="122" customFormat="1" ht="31.5" hidden="1" customHeight="1"/>
    <row r="109" s="122" customFormat="1" ht="19.5" hidden="1" customHeight="1"/>
    <row r="110" s="122" customFormat="1" ht="19.5" hidden="1" customHeight="1"/>
    <row r="111" s="122" customFormat="1" ht="6" hidden="1" customHeight="1"/>
    <row r="112" s="122" customFormat="1" ht="22.5" customHeight="1"/>
    <row r="113" s="122" customFormat="1" ht="19.5" hidden="1" customHeight="1"/>
    <row r="114" s="122" customFormat="1" ht="19.5" hidden="1" customHeight="1"/>
    <row r="115" s="122" customFormat="1" ht="19.5" hidden="1" customHeight="1"/>
    <row r="116" s="122" customFormat="1" ht="19.5" hidden="1" customHeight="1"/>
    <row r="117" s="122" customFormat="1" ht="19.5" hidden="1" customHeight="1"/>
    <row r="118" s="122" customFormat="1" ht="12" hidden="1" customHeight="1"/>
    <row r="119" s="122" customFormat="1" ht="19.5" hidden="1" customHeight="1"/>
    <row r="120" s="122" customFormat="1" ht="19.5" hidden="1" customHeight="1"/>
    <row r="121" s="122" customFormat="1" ht="19.5" hidden="1" customHeight="1"/>
    <row r="122" s="122" customFormat="1" ht="19.5" hidden="1" customHeight="1"/>
    <row r="123" s="122" customFormat="1" ht="19.5" hidden="1" customHeight="1"/>
    <row r="124" s="122" customFormat="1" ht="19.5" hidden="1" customHeight="1"/>
    <row r="125" s="122" customFormat="1" ht="19.5" hidden="1" customHeight="1"/>
    <row r="126" s="122" customFormat="1" ht="19.5" hidden="1" customHeight="1"/>
    <row r="127" s="122" customFormat="1" ht="19.5" hidden="1" customHeight="1"/>
    <row r="128" s="122" customFormat="1" ht="19.5" hidden="1" customHeight="1"/>
    <row r="129" s="122" customFormat="1" ht="19.5" hidden="1" customHeight="1"/>
    <row r="130" s="122" customFormat="1" ht="19.5" hidden="1" customHeight="1"/>
    <row r="131" s="122" customFormat="1" ht="19.5" hidden="1" customHeight="1"/>
    <row r="132" s="122" customFormat="1" ht="19.5" hidden="1" customHeight="1"/>
    <row r="133" s="122" customFormat="1" ht="19.5" hidden="1" customHeight="1"/>
    <row r="134" s="122" customFormat="1" ht="19.5" hidden="1" customHeight="1"/>
    <row r="135" s="122" customFormat="1" ht="15.75" hidden="1" customHeight="1"/>
    <row r="136" s="122" customFormat="1" ht="15.75" hidden="1" customHeight="1"/>
    <row r="137" s="122" customFormat="1" ht="15.75" hidden="1" customHeight="1"/>
    <row r="138" s="122" customFormat="1" ht="15.75" hidden="1" customHeight="1"/>
    <row r="139" s="122" customFormat="1" ht="15.75" hidden="1" customHeight="1"/>
    <row r="140" s="122" customFormat="1" ht="25.5" hidden="1" customHeight="1"/>
    <row r="141" s="122" customFormat="1" ht="15.75" hidden="1" customHeight="1"/>
    <row r="142" s="122" customFormat="1" ht="15.75" hidden="1" customHeight="1"/>
    <row r="143" s="122" customFormat="1" ht="25.5" hidden="1" customHeight="1"/>
    <row r="160" s="122" customFormat="1" ht="15.75" hidden="1" customHeight="1"/>
    <row r="161" s="122" customFormat="1" ht="21" customHeight="1"/>
    <row r="162" s="122" customFormat="1" ht="24" customHeight="1"/>
  </sheetData>
  <mergeCells count="10">
    <mergeCell ref="D34:E34"/>
    <mergeCell ref="G1:H1"/>
    <mergeCell ref="A2:E2"/>
    <mergeCell ref="A3:E3"/>
    <mergeCell ref="D5:E5"/>
    <mergeCell ref="B29:E29"/>
    <mergeCell ref="A6:A7"/>
    <mergeCell ref="B6:B7"/>
    <mergeCell ref="C6:C7"/>
    <mergeCell ref="D6:E6"/>
  </mergeCells>
  <pageMargins left="0.56000000000000005" right="0.2"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8"/>
  <sheetViews>
    <sheetView workbookViewId="0">
      <selection activeCell="A12" sqref="A12:J31"/>
    </sheetView>
  </sheetViews>
  <sheetFormatPr defaultRowHeight="15.75"/>
  <cols>
    <col min="1" max="1" width="25.625" customWidth="1"/>
    <col min="2" max="2" width="10.875" customWidth="1"/>
    <col min="3" max="3" width="13.5" style="165" customWidth="1"/>
    <col min="4" max="4" width="11.375" style="165" customWidth="1"/>
    <col min="5" max="5" width="12.375" style="165" customWidth="1"/>
    <col min="6" max="6" width="12.125" style="165" customWidth="1"/>
    <col min="7" max="7" width="12.5" style="165" customWidth="1"/>
    <col min="8" max="8" width="11.125" style="165" customWidth="1"/>
    <col min="9" max="9" width="11.625" style="165" customWidth="1"/>
    <col min="10" max="10" width="11.375" style="165" customWidth="1"/>
    <col min="11" max="11" width="11.625" bestFit="1" customWidth="1"/>
    <col min="12" max="12" width="10.875" bestFit="1" customWidth="1"/>
  </cols>
  <sheetData>
    <row r="2" spans="1:12" s="18" customFormat="1" ht="18.75" customHeight="1">
      <c r="A2" s="289" t="s">
        <v>299</v>
      </c>
      <c r="B2" s="289"/>
      <c r="C2" s="289"/>
      <c r="D2" s="53"/>
      <c r="E2" s="53"/>
      <c r="F2" s="53"/>
      <c r="G2" s="53"/>
      <c r="H2" s="290" t="s">
        <v>285</v>
      </c>
      <c r="I2" s="290"/>
      <c r="J2" s="290"/>
    </row>
    <row r="3" spans="1:12" s="118" customFormat="1" ht="20.25">
      <c r="C3" s="163"/>
      <c r="D3" s="164" t="s">
        <v>313</v>
      </c>
      <c r="E3" s="163"/>
      <c r="F3" s="163"/>
      <c r="G3" s="163"/>
      <c r="H3" s="163"/>
      <c r="I3" s="163"/>
      <c r="J3" s="163"/>
    </row>
    <row r="4" spans="1:12">
      <c r="D4" s="174" t="s">
        <v>289</v>
      </c>
    </row>
    <row r="5" spans="1:12">
      <c r="I5" s="175" t="s">
        <v>202</v>
      </c>
    </row>
    <row r="6" spans="1:12">
      <c r="I6" s="173"/>
    </row>
    <row r="7" spans="1:12" s="172" customFormat="1">
      <c r="A7" s="291" t="s">
        <v>276</v>
      </c>
      <c r="B7" s="292" t="s">
        <v>277</v>
      </c>
      <c r="C7" s="288" t="s">
        <v>278</v>
      </c>
      <c r="D7" s="288"/>
      <c r="E7" s="288" t="s">
        <v>314</v>
      </c>
      <c r="F7" s="288" t="s">
        <v>315</v>
      </c>
      <c r="G7" s="288" t="s">
        <v>303</v>
      </c>
      <c r="H7" s="288"/>
      <c r="I7" s="288"/>
      <c r="J7" s="288"/>
    </row>
    <row r="8" spans="1:12" s="172" customFormat="1" ht="15.75" customHeight="1">
      <c r="A8" s="291"/>
      <c r="B8" s="292"/>
      <c r="C8" s="288"/>
      <c r="D8" s="288"/>
      <c r="E8" s="288"/>
      <c r="F8" s="288"/>
      <c r="G8" s="288" t="s">
        <v>279</v>
      </c>
      <c r="H8" s="288" t="s">
        <v>280</v>
      </c>
      <c r="I8" s="288" t="s">
        <v>281</v>
      </c>
      <c r="J8" s="288"/>
    </row>
    <row r="9" spans="1:12" s="172" customFormat="1" ht="47.25">
      <c r="A9" s="291"/>
      <c r="B9" s="292"/>
      <c r="C9" s="249" t="s">
        <v>279</v>
      </c>
      <c r="D9" s="249" t="s">
        <v>287</v>
      </c>
      <c r="E9" s="288"/>
      <c r="F9" s="288"/>
      <c r="G9" s="288"/>
      <c r="H9" s="288"/>
      <c r="I9" s="249" t="s">
        <v>282</v>
      </c>
      <c r="J9" s="249" t="s">
        <v>283</v>
      </c>
    </row>
    <row r="10" spans="1:12" s="217" customFormat="1" ht="22.5" customHeight="1">
      <c r="A10" s="214" t="s">
        <v>200</v>
      </c>
      <c r="B10" s="215"/>
      <c r="C10" s="216">
        <f t="shared" ref="C10:J10" si="0">C11+C32</f>
        <v>21889319</v>
      </c>
      <c r="D10" s="216">
        <f t="shared" si="0"/>
        <v>262932</v>
      </c>
      <c r="E10" s="216">
        <f t="shared" si="0"/>
        <v>19640553</v>
      </c>
      <c r="F10" s="216">
        <f t="shared" si="0"/>
        <v>14319463.4</v>
      </c>
      <c r="G10" s="216">
        <f t="shared" si="0"/>
        <v>6749999.5999999996</v>
      </c>
      <c r="H10" s="216">
        <f t="shared" si="0"/>
        <v>0</v>
      </c>
      <c r="I10" s="216">
        <f t="shared" si="0"/>
        <v>6749999.5999999996</v>
      </c>
      <c r="J10" s="216">
        <f t="shared" si="0"/>
        <v>0</v>
      </c>
      <c r="L10" s="217">
        <v>9900750</v>
      </c>
    </row>
    <row r="11" spans="1:12" s="15" customFormat="1" ht="32.450000000000003" customHeight="1">
      <c r="A11" s="197" t="s">
        <v>333</v>
      </c>
      <c r="B11" s="197"/>
      <c r="C11" s="198">
        <f>SUM(C12:C31)</f>
        <v>21889319</v>
      </c>
      <c r="D11" s="198">
        <f t="shared" ref="D11:J11" si="1">SUM(D12:D31)</f>
        <v>262932</v>
      </c>
      <c r="E11" s="198">
        <f t="shared" si="1"/>
        <v>19640553</v>
      </c>
      <c r="F11" s="198">
        <f t="shared" si="1"/>
        <v>14319463.4</v>
      </c>
      <c r="G11" s="198">
        <f t="shared" si="1"/>
        <v>4749999.5999999996</v>
      </c>
      <c r="H11" s="198">
        <f t="shared" si="1"/>
        <v>0</v>
      </c>
      <c r="I11" s="198">
        <f t="shared" si="1"/>
        <v>4749999.5999999996</v>
      </c>
      <c r="J11" s="198">
        <f t="shared" si="1"/>
        <v>0</v>
      </c>
      <c r="L11" s="81">
        <f>+L10-I10</f>
        <v>3150750.4000000004</v>
      </c>
    </row>
    <row r="12" spans="1:12" s="252" customFormat="1" ht="31.5">
      <c r="A12" s="199" t="s">
        <v>302</v>
      </c>
      <c r="B12" s="253">
        <v>2021</v>
      </c>
      <c r="C12" s="254">
        <v>3017264</v>
      </c>
      <c r="D12" s="254"/>
      <c r="E12" s="254">
        <v>2859820</v>
      </c>
      <c r="F12" s="255">
        <v>2490950</v>
      </c>
      <c r="G12" s="254">
        <f>I12</f>
        <v>368870</v>
      </c>
      <c r="H12" s="254"/>
      <c r="I12" s="254">
        <v>368870</v>
      </c>
      <c r="J12" s="254"/>
      <c r="K12" s="251">
        <f>E12-356650</f>
        <v>2503170</v>
      </c>
    </row>
    <row r="13" spans="1:12" s="252" customFormat="1" ht="60.95" customHeight="1">
      <c r="A13" s="203" t="s">
        <v>309</v>
      </c>
      <c r="B13" s="253">
        <v>2020</v>
      </c>
      <c r="C13" s="256">
        <v>551900</v>
      </c>
      <c r="D13" s="254"/>
      <c r="E13" s="254">
        <v>513250</v>
      </c>
      <c r="F13" s="257">
        <v>440000</v>
      </c>
      <c r="G13" s="254">
        <f>I13</f>
        <v>73250</v>
      </c>
      <c r="H13" s="205"/>
      <c r="I13" s="205">
        <f>E13-F13</f>
        <v>73250</v>
      </c>
      <c r="J13" s="254"/>
    </row>
    <row r="14" spans="1:12" s="252" customFormat="1" ht="62.45" customHeight="1">
      <c r="A14" s="206" t="s">
        <v>310</v>
      </c>
      <c r="B14" s="253">
        <v>2019</v>
      </c>
      <c r="C14" s="254">
        <v>969001</v>
      </c>
      <c r="D14" s="254"/>
      <c r="E14" s="254">
        <v>886699</v>
      </c>
      <c r="F14" s="254">
        <v>844000</v>
      </c>
      <c r="G14" s="254">
        <f>I14</f>
        <v>42699</v>
      </c>
      <c r="H14" s="254"/>
      <c r="I14" s="205">
        <f>E14-F14</f>
        <v>42699</v>
      </c>
      <c r="J14" s="254"/>
    </row>
    <row r="15" spans="1:12" s="252" customFormat="1" ht="47.25">
      <c r="A15" s="203" t="s">
        <v>324</v>
      </c>
      <c r="B15" s="253">
        <v>2020</v>
      </c>
      <c r="C15" s="254">
        <v>851750</v>
      </c>
      <c r="D15" s="254"/>
      <c r="E15" s="254">
        <v>737411</v>
      </c>
      <c r="F15" s="255">
        <v>645000</v>
      </c>
      <c r="G15" s="254">
        <f>46820+45580</f>
        <v>92400</v>
      </c>
      <c r="H15" s="254"/>
      <c r="I15" s="254">
        <f>G15</f>
        <v>92400</v>
      </c>
      <c r="J15" s="254"/>
    </row>
    <row r="16" spans="1:12" s="252" customFormat="1" ht="42" customHeight="1">
      <c r="A16" s="203" t="s">
        <v>316</v>
      </c>
      <c r="B16" s="253">
        <v>2021</v>
      </c>
      <c r="C16" s="254">
        <v>745400</v>
      </c>
      <c r="D16" s="254"/>
      <c r="E16" s="254">
        <v>704130</v>
      </c>
      <c r="F16" s="255">
        <v>600000</v>
      </c>
      <c r="G16" s="254">
        <f>I16</f>
        <v>104130</v>
      </c>
      <c r="H16" s="254"/>
      <c r="I16" s="254">
        <f>E16-F16</f>
        <v>104130</v>
      </c>
      <c r="J16" s="254"/>
    </row>
    <row r="17" spans="1:11" s="18" customFormat="1" ht="62.45" customHeight="1">
      <c r="A17" s="203" t="s">
        <v>331</v>
      </c>
      <c r="B17" s="253">
        <v>2021</v>
      </c>
      <c r="C17" s="254">
        <v>1166110</v>
      </c>
      <c r="D17" s="254"/>
      <c r="E17" s="254">
        <v>1051310</v>
      </c>
      <c r="F17" s="255">
        <v>959770</v>
      </c>
      <c r="G17" s="254">
        <f>E17-F17</f>
        <v>91540</v>
      </c>
      <c r="H17" s="254"/>
      <c r="I17" s="254">
        <f>G17</f>
        <v>91540</v>
      </c>
      <c r="J17" s="254"/>
      <c r="K17" s="54">
        <f>69070+32480</f>
        <v>101550</v>
      </c>
    </row>
    <row r="18" spans="1:11" s="252" customFormat="1" ht="46.7" customHeight="1">
      <c r="A18" s="203" t="s">
        <v>317</v>
      </c>
      <c r="B18" s="253" t="s">
        <v>298</v>
      </c>
      <c r="C18" s="254">
        <v>996883</v>
      </c>
      <c r="D18" s="254"/>
      <c r="E18" s="254">
        <v>916878</v>
      </c>
      <c r="F18" s="255">
        <v>821846</v>
      </c>
      <c r="G18" s="254">
        <f>I18</f>
        <v>95030</v>
      </c>
      <c r="H18" s="254"/>
      <c r="I18" s="254">
        <v>95030</v>
      </c>
      <c r="J18" s="254"/>
    </row>
    <row r="19" spans="1:11" s="252" customFormat="1" ht="45.6" customHeight="1">
      <c r="A19" s="203" t="s">
        <v>318</v>
      </c>
      <c r="B19" s="253">
        <v>2022</v>
      </c>
      <c r="C19" s="254">
        <v>1117260</v>
      </c>
      <c r="D19" s="254"/>
      <c r="E19" s="254">
        <v>966320</v>
      </c>
      <c r="F19" s="255">
        <v>831792.4</v>
      </c>
      <c r="G19" s="254">
        <f>I19</f>
        <v>134527.59999999998</v>
      </c>
      <c r="H19" s="254"/>
      <c r="I19" s="254">
        <f>E19-F19</f>
        <v>134527.59999999998</v>
      </c>
      <c r="J19" s="254"/>
    </row>
    <row r="20" spans="1:11" s="18" customFormat="1" ht="42" customHeight="1">
      <c r="A20" s="203" t="s">
        <v>301</v>
      </c>
      <c r="B20" s="253">
        <v>2023</v>
      </c>
      <c r="C20" s="254"/>
      <c r="D20" s="254"/>
      <c r="E20" s="254"/>
      <c r="F20" s="255"/>
      <c r="G20" s="254">
        <v>114217</v>
      </c>
      <c r="H20" s="254"/>
      <c r="I20" s="254">
        <f>G20</f>
        <v>114217</v>
      </c>
      <c r="J20" s="254"/>
    </row>
    <row r="21" spans="1:11" s="252" customFormat="1" ht="42" customHeight="1">
      <c r="A21" s="203" t="s">
        <v>319</v>
      </c>
      <c r="B21" s="253">
        <v>2022</v>
      </c>
      <c r="C21" s="254">
        <v>1259270</v>
      </c>
      <c r="D21" s="254"/>
      <c r="E21" s="254">
        <v>1132310</v>
      </c>
      <c r="F21" s="255">
        <v>200000</v>
      </c>
      <c r="G21" s="254">
        <f>I21</f>
        <v>812159</v>
      </c>
      <c r="H21" s="254"/>
      <c r="I21" s="254">
        <v>812159</v>
      </c>
      <c r="J21" s="254"/>
    </row>
    <row r="22" spans="1:11" s="252" customFormat="1" ht="46.7" customHeight="1">
      <c r="A22" s="203" t="s">
        <v>320</v>
      </c>
      <c r="B22" s="253">
        <v>2022</v>
      </c>
      <c r="C22" s="254">
        <v>2220095</v>
      </c>
      <c r="D22" s="254"/>
      <c r="E22" s="254">
        <v>2177720</v>
      </c>
      <c r="F22" s="255">
        <v>600000</v>
      </c>
      <c r="G22" s="254">
        <f>I22</f>
        <v>1225561</v>
      </c>
      <c r="H22" s="254"/>
      <c r="I22" s="254">
        <v>1225561</v>
      </c>
      <c r="J22" s="254"/>
    </row>
    <row r="23" spans="1:11" s="18" customFormat="1" ht="41.1" customHeight="1">
      <c r="A23" s="203" t="s">
        <v>321</v>
      </c>
      <c r="B23" s="253">
        <v>2022</v>
      </c>
      <c r="C23" s="254">
        <v>1079463</v>
      </c>
      <c r="D23" s="254"/>
      <c r="E23" s="254">
        <v>990470</v>
      </c>
      <c r="F23" s="255">
        <v>232000</v>
      </c>
      <c r="G23" s="254">
        <f>I23</f>
        <v>700000</v>
      </c>
      <c r="H23" s="254"/>
      <c r="I23" s="254">
        <v>700000</v>
      </c>
      <c r="J23" s="254"/>
    </row>
    <row r="24" spans="1:11" s="18" customFormat="1" ht="35.1" customHeight="1">
      <c r="A24" s="203" t="s">
        <v>323</v>
      </c>
      <c r="B24" s="253">
        <v>2023</v>
      </c>
      <c r="C24" s="254">
        <v>778714</v>
      </c>
      <c r="D24" s="254"/>
      <c r="E24" s="250">
        <f>454127+40911+33687</f>
        <v>528725</v>
      </c>
      <c r="F24" s="255">
        <f>114213+60000</f>
        <v>174213</v>
      </c>
      <c r="G24" s="254">
        <v>200000</v>
      </c>
      <c r="H24" s="254"/>
      <c r="I24" s="254">
        <f>G24</f>
        <v>200000</v>
      </c>
      <c r="J24" s="254"/>
    </row>
    <row r="25" spans="1:11" s="18" customFormat="1" ht="38.1" customHeight="1">
      <c r="A25" s="203" t="s">
        <v>322</v>
      </c>
      <c r="B25" s="253">
        <v>2023</v>
      </c>
      <c r="C25" s="254">
        <v>45268</v>
      </c>
      <c r="D25" s="254"/>
      <c r="E25" s="254">
        <v>45268</v>
      </c>
      <c r="F25" s="255"/>
      <c r="G25" s="254">
        <f>E25</f>
        <v>45268</v>
      </c>
      <c r="H25" s="254"/>
      <c r="I25" s="254">
        <f>G25</f>
        <v>45268</v>
      </c>
      <c r="J25" s="254"/>
    </row>
    <row r="26" spans="1:11" s="18" customFormat="1" ht="38.1" customHeight="1">
      <c r="A26" s="203" t="s">
        <v>325</v>
      </c>
      <c r="B26" s="253">
        <v>2019</v>
      </c>
      <c r="C26" s="254">
        <v>978073</v>
      </c>
      <c r="D26" s="254"/>
      <c r="E26" s="254">
        <v>867019</v>
      </c>
      <c r="F26" s="255">
        <v>817930</v>
      </c>
      <c r="G26" s="254">
        <v>49090</v>
      </c>
      <c r="H26" s="254"/>
      <c r="I26" s="254">
        <f>G26</f>
        <v>49090</v>
      </c>
      <c r="J26" s="254"/>
    </row>
    <row r="27" spans="1:11" s="18" customFormat="1" ht="25.7" customHeight="1">
      <c r="A27" s="203" t="s">
        <v>326</v>
      </c>
      <c r="B27" s="253">
        <v>2022</v>
      </c>
      <c r="C27" s="254">
        <v>879561</v>
      </c>
      <c r="D27" s="254">
        <v>131132</v>
      </c>
      <c r="E27" s="254">
        <v>749670</v>
      </c>
      <c r="F27" s="255">
        <v>500384</v>
      </c>
      <c r="G27" s="254">
        <f>I27</f>
        <v>249286</v>
      </c>
      <c r="H27" s="254"/>
      <c r="I27" s="254">
        <v>249286</v>
      </c>
      <c r="J27" s="254"/>
    </row>
    <row r="28" spans="1:11" s="18" customFormat="1" ht="33.6" customHeight="1">
      <c r="A28" s="203" t="s">
        <v>327</v>
      </c>
      <c r="B28" s="253">
        <v>2022</v>
      </c>
      <c r="C28" s="254">
        <v>859977</v>
      </c>
      <c r="D28" s="254">
        <v>131800</v>
      </c>
      <c r="E28" s="254">
        <v>732751</v>
      </c>
      <c r="F28" s="255">
        <f>494490+42259</f>
        <v>536749</v>
      </c>
      <c r="G28" s="254">
        <v>196000</v>
      </c>
      <c r="H28" s="254"/>
      <c r="I28" s="254">
        <v>196000</v>
      </c>
      <c r="J28" s="254"/>
    </row>
    <row r="29" spans="1:11" s="18" customFormat="1" ht="31.5">
      <c r="A29" s="203" t="s">
        <v>328</v>
      </c>
      <c r="B29" s="253">
        <v>2021</v>
      </c>
      <c r="C29" s="254">
        <v>1194027</v>
      </c>
      <c r="D29" s="254"/>
      <c r="E29" s="254">
        <v>1064809</v>
      </c>
      <c r="F29" s="255">
        <v>983279</v>
      </c>
      <c r="G29" s="254">
        <f>E29-F29</f>
        <v>81530</v>
      </c>
      <c r="H29" s="254"/>
      <c r="I29" s="254">
        <f>G29</f>
        <v>81530</v>
      </c>
      <c r="J29" s="254"/>
    </row>
    <row r="30" spans="1:11" s="18" customFormat="1">
      <c r="A30" s="203" t="s">
        <v>329</v>
      </c>
      <c r="B30" s="253">
        <v>2021</v>
      </c>
      <c r="C30" s="254">
        <v>447172</v>
      </c>
      <c r="D30" s="254"/>
      <c r="E30" s="254">
        <v>404290</v>
      </c>
      <c r="F30" s="255">
        <v>373490</v>
      </c>
      <c r="G30" s="254">
        <f>E30-F30</f>
        <v>30800</v>
      </c>
      <c r="H30" s="254"/>
      <c r="I30" s="254">
        <f>G30</f>
        <v>30800</v>
      </c>
      <c r="J30" s="254"/>
    </row>
    <row r="31" spans="1:11" s="18" customFormat="1" ht="35.25" customHeight="1">
      <c r="A31" s="203" t="s">
        <v>330</v>
      </c>
      <c r="B31" s="253">
        <v>2015</v>
      </c>
      <c r="C31" s="254">
        <v>2732131</v>
      </c>
      <c r="D31" s="254"/>
      <c r="E31" s="254">
        <v>2311703</v>
      </c>
      <c r="F31" s="255">
        <v>2268060</v>
      </c>
      <c r="G31" s="254">
        <v>43642</v>
      </c>
      <c r="H31" s="254"/>
      <c r="I31" s="254">
        <f>G31</f>
        <v>43642</v>
      </c>
      <c r="J31" s="254"/>
    </row>
    <row r="32" spans="1:11" s="18" customFormat="1" ht="47.1" customHeight="1">
      <c r="A32" s="207" t="s">
        <v>284</v>
      </c>
      <c r="B32" s="208"/>
      <c r="C32" s="198">
        <f t="shared" ref="C32:J32" si="2">+C33</f>
        <v>0</v>
      </c>
      <c r="D32" s="198">
        <f t="shared" si="2"/>
        <v>0</v>
      </c>
      <c r="E32" s="198">
        <f t="shared" si="2"/>
        <v>0</v>
      </c>
      <c r="F32" s="198">
        <f t="shared" si="2"/>
        <v>0</v>
      </c>
      <c r="G32" s="198">
        <f t="shared" si="2"/>
        <v>2000000</v>
      </c>
      <c r="H32" s="198">
        <f t="shared" si="2"/>
        <v>0</v>
      </c>
      <c r="I32" s="198">
        <f t="shared" si="2"/>
        <v>2000000</v>
      </c>
      <c r="J32" s="198">
        <f t="shared" si="2"/>
        <v>0</v>
      </c>
    </row>
    <row r="33" spans="1:10" s="18" customFormat="1" ht="35.25" customHeight="1">
      <c r="A33" s="209" t="s">
        <v>305</v>
      </c>
      <c r="B33" s="200"/>
      <c r="C33" s="201"/>
      <c r="D33" s="201"/>
      <c r="E33" s="201">
        <f>SUM(E34:E34)</f>
        <v>0</v>
      </c>
      <c r="F33" s="201">
        <f>SUM(F34:F34)</f>
        <v>0</v>
      </c>
      <c r="G33" s="201">
        <f>SUM(G34:G35)</f>
        <v>2000000</v>
      </c>
      <c r="H33" s="201">
        <f>SUM(H34:H35)</f>
        <v>0</v>
      </c>
      <c r="I33" s="201">
        <f>SUM(I34:I35)</f>
        <v>2000000</v>
      </c>
      <c r="J33" s="201"/>
    </row>
    <row r="34" spans="1:10" s="18" customFormat="1" ht="39.6" customHeight="1">
      <c r="A34" s="199" t="s">
        <v>304</v>
      </c>
      <c r="B34" s="210">
        <v>2024</v>
      </c>
      <c r="C34" s="211">
        <v>4082000</v>
      </c>
      <c r="D34" s="204"/>
      <c r="E34" s="201"/>
      <c r="F34" s="201"/>
      <c r="G34" s="211">
        <v>1200000</v>
      </c>
      <c r="H34" s="205"/>
      <c r="I34" s="211">
        <v>1200000</v>
      </c>
      <c r="J34" s="201"/>
    </row>
    <row r="35" spans="1:10" s="18" customFormat="1" ht="27.6" customHeight="1">
      <c r="A35" s="203" t="s">
        <v>332</v>
      </c>
      <c r="B35" s="200">
        <v>2023.2023999999999</v>
      </c>
      <c r="C35" s="201"/>
      <c r="D35" s="201"/>
      <c r="E35" s="201"/>
      <c r="F35" s="202"/>
      <c r="G35" s="201">
        <v>800000</v>
      </c>
      <c r="H35" s="201"/>
      <c r="I35" s="201">
        <f>G35</f>
        <v>800000</v>
      </c>
      <c r="J35" s="201"/>
    </row>
    <row r="36" spans="1:10" s="18" customFormat="1">
      <c r="A36" s="212"/>
      <c r="B36" s="212"/>
      <c r="C36" s="213"/>
      <c r="D36" s="213"/>
      <c r="E36" s="213"/>
      <c r="F36" s="213"/>
      <c r="G36" s="213"/>
      <c r="H36" s="213"/>
      <c r="I36" s="213"/>
      <c r="J36" s="213"/>
    </row>
    <row r="37" spans="1:10" ht="24.95" customHeight="1">
      <c r="A37" s="171" t="s">
        <v>288</v>
      </c>
      <c r="C37"/>
      <c r="D37"/>
      <c r="E37"/>
      <c r="F37"/>
      <c r="G37"/>
      <c r="H37"/>
      <c r="I37"/>
      <c r="J37"/>
    </row>
    <row r="38" spans="1:10" ht="29.1" customHeight="1"/>
  </sheetData>
  <mergeCells count="11">
    <mergeCell ref="I8:J8"/>
    <mergeCell ref="A2:C2"/>
    <mergeCell ref="H2:J2"/>
    <mergeCell ref="A7:A9"/>
    <mergeCell ref="B7:B9"/>
    <mergeCell ref="C7:D8"/>
    <mergeCell ref="E7:E9"/>
    <mergeCell ref="F7:F9"/>
    <mergeCell ref="G7:J7"/>
    <mergeCell ref="G8:G9"/>
    <mergeCell ref="H8:H9"/>
  </mergeCells>
  <pageMargins left="0.28999999999999998" right="0.17" top="0.37" bottom="0.2" header="0.3" footer="0.17"/>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workbookViewId="0">
      <selection activeCell="G6" sqref="E6:G8"/>
    </sheetView>
  </sheetViews>
  <sheetFormatPr defaultColWidth="9" defaultRowHeight="18.75"/>
  <cols>
    <col min="1" max="1" width="35.5" style="118" customWidth="1"/>
    <col min="2" max="2" width="15.625" style="118" customWidth="1"/>
    <col min="3" max="3" width="14.5" style="118" customWidth="1"/>
    <col min="4" max="4" width="12.375" style="118" customWidth="1"/>
    <col min="5" max="5" width="14" style="118" customWidth="1"/>
    <col min="6" max="6" width="12.625" style="118" customWidth="1"/>
    <col min="7" max="7" width="11.5" style="118" customWidth="1"/>
    <col min="8" max="16384" width="9" style="118"/>
  </cols>
  <sheetData>
    <row r="1" spans="1:7">
      <c r="A1" s="120"/>
    </row>
    <row r="2" spans="1:7" ht="24" customHeight="1">
      <c r="A2" s="124" t="s">
        <v>299</v>
      </c>
      <c r="E2" s="258" t="s">
        <v>222</v>
      </c>
      <c r="F2" s="258"/>
      <c r="G2" s="258"/>
    </row>
    <row r="3" spans="1:7">
      <c r="A3" s="119"/>
    </row>
    <row r="4" spans="1:7" ht="20.25">
      <c r="C4" s="121" t="s">
        <v>334</v>
      </c>
    </row>
    <row r="5" spans="1:7">
      <c r="C5" s="125" t="s">
        <v>191</v>
      </c>
    </row>
    <row r="6" spans="1:7">
      <c r="F6" s="126" t="s">
        <v>202</v>
      </c>
    </row>
    <row r="7" spans="1:7">
      <c r="A7" s="259" t="s">
        <v>117</v>
      </c>
      <c r="B7" s="259" t="s">
        <v>336</v>
      </c>
      <c r="C7" s="259"/>
      <c r="D7" s="259"/>
      <c r="E7" s="259" t="s">
        <v>335</v>
      </c>
      <c r="F7" s="259"/>
      <c r="G7" s="259"/>
    </row>
    <row r="8" spans="1:7">
      <c r="A8" s="259"/>
      <c r="B8" s="260" t="s">
        <v>216</v>
      </c>
      <c r="C8" s="260"/>
      <c r="D8" s="260"/>
      <c r="E8" s="259"/>
      <c r="F8" s="259"/>
      <c r="G8" s="259"/>
    </row>
    <row r="9" spans="1:7" ht="56.25">
      <c r="A9" s="259"/>
      <c r="B9" s="136" t="s">
        <v>207</v>
      </c>
      <c r="C9" s="136" t="s">
        <v>208</v>
      </c>
      <c r="D9" s="136" t="s">
        <v>209</v>
      </c>
      <c r="E9" s="136" t="s">
        <v>207</v>
      </c>
      <c r="F9" s="136" t="s">
        <v>208</v>
      </c>
      <c r="G9" s="136" t="s">
        <v>209</v>
      </c>
    </row>
    <row r="10" spans="1:7">
      <c r="A10" s="134" t="s">
        <v>200</v>
      </c>
      <c r="B10" s="194">
        <f>+B11</f>
        <v>16006</v>
      </c>
      <c r="C10" s="194">
        <f t="shared" ref="C10:F10" si="0">+C11</f>
        <v>32826.699999999997</v>
      </c>
      <c r="D10" s="194">
        <f t="shared" si="0"/>
        <v>-16820.699999999997</v>
      </c>
      <c r="E10" s="194">
        <f t="shared" si="0"/>
        <v>20000</v>
      </c>
      <c r="F10" s="194">
        <f t="shared" si="0"/>
        <v>20000</v>
      </c>
      <c r="G10" s="135"/>
    </row>
    <row r="11" spans="1:7" ht="31.5">
      <c r="A11" s="196" t="s">
        <v>210</v>
      </c>
      <c r="B11" s="195">
        <f>SUM(B12:B15)</f>
        <v>16006</v>
      </c>
      <c r="C11" s="195">
        <f>SUM(C12:C15)</f>
        <v>32826.699999999997</v>
      </c>
      <c r="D11" s="195">
        <f>SUM(D12:D15)</f>
        <v>-16820.699999999997</v>
      </c>
      <c r="E11" s="195">
        <v>20000</v>
      </c>
      <c r="F11" s="195">
        <f>E11</f>
        <v>20000</v>
      </c>
      <c r="G11" s="127"/>
    </row>
    <row r="12" spans="1:7">
      <c r="A12" s="129" t="s">
        <v>220</v>
      </c>
      <c r="B12" s="191">
        <v>16006</v>
      </c>
      <c r="C12" s="191">
        <v>32826.699999999997</v>
      </c>
      <c r="D12" s="130">
        <f>+B12-C12</f>
        <v>-16820.699999999997</v>
      </c>
      <c r="E12" s="131">
        <v>20000</v>
      </c>
      <c r="F12" s="131">
        <v>20000</v>
      </c>
      <c r="G12" s="130">
        <f>+E12-F12</f>
        <v>0</v>
      </c>
    </row>
    <row r="13" spans="1:7">
      <c r="A13" s="129" t="s">
        <v>223</v>
      </c>
      <c r="B13" s="192">
        <v>0</v>
      </c>
      <c r="C13" s="192">
        <v>0</v>
      </c>
      <c r="D13" s="193">
        <f>+B13-C13</f>
        <v>0</v>
      </c>
      <c r="E13" s="192">
        <v>0</v>
      </c>
      <c r="F13" s="192">
        <v>0</v>
      </c>
      <c r="G13" s="193">
        <f>+E13-F13</f>
        <v>0</v>
      </c>
    </row>
    <row r="14" spans="1:7">
      <c r="A14" s="129" t="s">
        <v>224</v>
      </c>
      <c r="B14" s="192">
        <v>0</v>
      </c>
      <c r="C14" s="192"/>
      <c r="D14" s="193">
        <f>+B14-C14</f>
        <v>0</v>
      </c>
      <c r="E14" s="192">
        <v>0</v>
      </c>
      <c r="F14" s="192">
        <v>0</v>
      </c>
      <c r="G14" s="193">
        <f>+E14-F14</f>
        <v>0</v>
      </c>
    </row>
    <row r="15" spans="1:7">
      <c r="A15" s="129" t="s">
        <v>221</v>
      </c>
      <c r="B15" s="192">
        <v>0</v>
      </c>
      <c r="C15" s="192">
        <v>0</v>
      </c>
      <c r="D15" s="193">
        <f>+B15-C15</f>
        <v>0</v>
      </c>
      <c r="E15" s="192">
        <v>0</v>
      </c>
      <c r="F15" s="192">
        <v>0</v>
      </c>
      <c r="G15" s="193">
        <f>+E15-F15</f>
        <v>0</v>
      </c>
    </row>
    <row r="16" spans="1:7">
      <c r="A16" s="128" t="s">
        <v>211</v>
      </c>
      <c r="B16" s="127"/>
      <c r="C16" s="127"/>
      <c r="D16" s="127"/>
      <c r="E16" s="127"/>
      <c r="F16" s="127"/>
      <c r="G16" s="127"/>
    </row>
    <row r="17" spans="1:7">
      <c r="A17" s="128" t="s">
        <v>212</v>
      </c>
      <c r="B17" s="127"/>
      <c r="C17" s="127"/>
      <c r="D17" s="127"/>
      <c r="E17" s="127"/>
      <c r="F17" s="127"/>
      <c r="G17" s="127"/>
    </row>
    <row r="18" spans="1:7">
      <c r="A18" s="128" t="s">
        <v>213</v>
      </c>
      <c r="B18" s="127"/>
      <c r="C18" s="127"/>
      <c r="D18" s="127"/>
      <c r="E18" s="127"/>
      <c r="F18" s="127"/>
      <c r="G18" s="127"/>
    </row>
    <row r="19" spans="1:7">
      <c r="A19" s="128" t="s">
        <v>214</v>
      </c>
      <c r="B19" s="127"/>
      <c r="C19" s="127"/>
      <c r="D19" s="127"/>
      <c r="E19" s="127"/>
      <c r="F19" s="127"/>
      <c r="G19" s="127"/>
    </row>
    <row r="20" spans="1:7">
      <c r="A20" s="128" t="s">
        <v>215</v>
      </c>
      <c r="B20" s="127"/>
      <c r="C20" s="127"/>
      <c r="D20" s="127"/>
      <c r="E20" s="127"/>
      <c r="F20" s="127"/>
      <c r="G20" s="127"/>
    </row>
    <row r="21" spans="1:7">
      <c r="A21" s="128" t="s">
        <v>204</v>
      </c>
      <c r="B21" s="127"/>
      <c r="C21" s="127"/>
      <c r="D21" s="127"/>
      <c r="E21" s="127"/>
      <c r="F21" s="127"/>
      <c r="G21" s="127"/>
    </row>
    <row r="22" spans="1:7">
      <c r="A22" s="132"/>
      <c r="B22" s="133"/>
      <c r="C22" s="133"/>
      <c r="D22" s="133"/>
      <c r="E22" s="133"/>
      <c r="F22" s="133"/>
      <c r="G22" s="133"/>
    </row>
  </sheetData>
  <mergeCells count="5">
    <mergeCell ref="A7:A9"/>
    <mergeCell ref="B7:D7"/>
    <mergeCell ref="B8:D8"/>
    <mergeCell ref="E7:G8"/>
    <mergeCell ref="E2:G2"/>
  </mergeCells>
  <pageMargins left="0.95" right="0.2"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107</vt:lpstr>
      <vt:lpstr>B108</vt:lpstr>
      <vt:lpstr>109</vt:lpstr>
      <vt:lpstr>110</vt:lpstr>
      <vt:lpstr>111</vt:lpstr>
      <vt:lpstr>112</vt:lpstr>
      <vt:lpstr>'111'!Print_Titles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DELL</cp:lastModifiedBy>
  <cp:lastPrinted>2024-03-18T08:37:22Z</cp:lastPrinted>
  <dcterms:created xsi:type="dcterms:W3CDTF">2016-06-15T02:00:59Z</dcterms:created>
  <dcterms:modified xsi:type="dcterms:W3CDTF">2024-03-19T01:27:02Z</dcterms:modified>
</cp:coreProperties>
</file>